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1040" windowWidth="25140" windowHeight="10300" tabRatio="522" activeTab="2"/>
  </bookViews>
  <sheets>
    <sheet name="All data" sheetId="1" r:id="rId1"/>
    <sheet name="MD corrected" sheetId="2" r:id="rId2"/>
    <sheet name="Print table" sheetId="3" r:id="rId3"/>
    <sheet name="Summary" sheetId="4" r:id="rId4"/>
  </sheets>
  <definedNames>
    <definedName name="_xlfn.CHISQ.DIST.RT" hidden="1">#NAME?</definedName>
  </definedNames>
  <calcPr fullCalcOnLoad="1"/>
</workbook>
</file>

<file path=xl/sharedStrings.xml><?xml version="1.0" encoding="utf-8"?>
<sst xmlns="http://schemas.openxmlformats.org/spreadsheetml/2006/main" count="282" uniqueCount="98">
  <si>
    <t>each aliquot</t>
  </si>
  <si>
    <t>Pct of</t>
  </si>
  <si>
    <t>This aqt</t>
  </si>
  <si>
    <t>Trapped Ne-21</t>
  </si>
  <si>
    <t>Total Ne-21</t>
  </si>
  <si>
    <t>Quartz</t>
  </si>
  <si>
    <t>Heating</t>
  </si>
  <si>
    <t>Total Ne-20 released</t>
  </si>
  <si>
    <t>Total Ne-21 released</t>
  </si>
  <si>
    <t>Ne-21/Ne-20</t>
  </si>
  <si>
    <t>Ne-22/Ne-20</t>
  </si>
  <si>
    <t>Best normalization</t>
  </si>
  <si>
    <t>total Ne-21</t>
  </si>
  <si>
    <t>pct of</t>
  </si>
  <si>
    <t>Filename</t>
  </si>
  <si>
    <t>Sample name</t>
  </si>
  <si>
    <t>Aliquot</t>
  </si>
  <si>
    <t>weight (g)</t>
  </si>
  <si>
    <t>temp (deg C)</t>
  </si>
  <si>
    <t>time (hr)</t>
  </si>
  <si>
    <t>(Gatoms)</t>
  </si>
  <si>
    <t>+/-</t>
  </si>
  <si>
    <t>(Matoms)</t>
  </si>
  <si>
    <t>(10^-3)</t>
  </si>
  <si>
    <t>(Matoms/g)</t>
  </si>
  <si>
    <t>this aqt</t>
  </si>
  <si>
    <t>Matoms/g</t>
  </si>
  <si>
    <t xml:space="preserve">Percent of total </t>
  </si>
  <si>
    <t>Total</t>
  </si>
  <si>
    <t>temperature</t>
  </si>
  <si>
    <t>time</t>
  </si>
  <si>
    <t>This heating step</t>
  </si>
  <si>
    <r>
      <t xml:space="preserve">%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</si>
  <si>
    <t>(deg C)</t>
  </si>
  <si>
    <t>(hr)</t>
  </si>
  <si>
    <r>
      <t>(10</t>
    </r>
    <r>
      <rPr>
        <vertAlign val="superscript"/>
        <sz val="10"/>
        <rFont val="Arial"/>
        <family val="0"/>
      </rPr>
      <t>9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</si>
  <si>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</si>
  <si>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-3</t>
    </r>
    <r>
      <rPr>
        <sz val="10"/>
        <rFont val="Arial"/>
        <family val="0"/>
      </rPr>
      <t>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</si>
  <si>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 g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>)</t>
    </r>
  </si>
  <si>
    <t>in this heating step</t>
  </si>
  <si>
    <t>released in this step</t>
  </si>
  <si>
    <r>
      <t xml:space="preserve">Total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1</t>
    </r>
  </si>
  <si>
    <r>
      <t xml:space="preserve">Total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2</t>
    </r>
  </si>
  <si>
    <t>Total Ne-22 released</t>
  </si>
  <si>
    <r>
      <t xml:space="preserve">Total </t>
    </r>
    <r>
      <rPr>
        <vertAlign val="superscript"/>
        <sz val="10"/>
        <rFont val="Arial"/>
        <family val="0"/>
      </rPr>
      <t>22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3</t>
    </r>
  </si>
  <si>
    <r>
      <t>3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22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signal in this analysis and the reproducibility of the air pipette signal</t>
    </r>
  </si>
  <si>
    <r>
      <t>4</t>
    </r>
    <r>
      <rPr>
        <sz val="10"/>
        <rFont val="Arial"/>
        <family val="0"/>
      </rPr>
      <t xml:space="preserve"> Isotope ratio measured internally during each analysis: does not involve normalization to the Ne isotope signals in the air pipettes. </t>
    </r>
  </si>
  <si>
    <r>
      <t>21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4</t>
    </r>
  </si>
  <si>
    <r>
      <t>22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4</t>
    </r>
  </si>
  <si>
    <t>Summary</t>
  </si>
  <si>
    <t>Ne-21 results - Stone/WAIS nunataks</t>
  </si>
  <si>
    <t>Run March 2014 on BGC "Ohio" system</t>
  </si>
  <si>
    <r>
      <t>1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signal in this analysis and the reproducibility of the air pipette signal</t>
    </r>
  </si>
  <si>
    <r>
      <t>2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signal in this analysis and the reproducibility of the air pipette signal</t>
    </r>
  </si>
  <si>
    <r>
      <t xml:space="preserve">Excess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as</t>
    </r>
  </si>
  <si>
    <r>
      <t xml:space="preserve">excess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</si>
  <si>
    <t>Excess Ne-21</t>
  </si>
  <si>
    <t>excess</t>
  </si>
  <si>
    <t>Total excess Ne-21</t>
  </si>
  <si>
    <t>OhioNe10298.dat</t>
  </si>
  <si>
    <t>OhioNe10314.dat</t>
  </si>
  <si>
    <t>OhioNe10299.dat</t>
  </si>
  <si>
    <t>OhioNe10315.dat</t>
  </si>
  <si>
    <t>OhioNe10300.dat</t>
  </si>
  <si>
    <t>OhioNe10316.dat</t>
  </si>
  <si>
    <t>OhioNe10524.dat</t>
  </si>
  <si>
    <t>OhioNe10540.dat</t>
  </si>
  <si>
    <t>OhioNe10525.dat</t>
  </si>
  <si>
    <t>OhioNe10541.dat</t>
  </si>
  <si>
    <t>OhioNe10526.dat</t>
  </si>
  <si>
    <t>OhioNe10542.dat</t>
  </si>
  <si>
    <t>b</t>
  </si>
  <si>
    <t>c</t>
  </si>
  <si>
    <t>BCO247</t>
  </si>
  <si>
    <t>BCO447</t>
  </si>
  <si>
    <t>BCO613</t>
  </si>
  <si>
    <t>Average</t>
  </si>
  <si>
    <t>SD</t>
  </si>
  <si>
    <t>Mean err</t>
  </si>
  <si>
    <t>pct SD</t>
  </si>
  <si>
    <t xml:space="preserve">These were run March-April 2017 on the BGC "Ohio" system. </t>
  </si>
  <si>
    <t>CRONUS-A standards run during the period of measurements were:</t>
  </si>
  <si>
    <t>Mean</t>
  </si>
  <si>
    <t>n</t>
  </si>
  <si>
    <t>rX2</t>
  </si>
  <si>
    <t>EWM</t>
  </si>
  <si>
    <t>SE</t>
  </si>
  <si>
    <t>pct EWM</t>
  </si>
  <si>
    <t>Wi</t>
  </si>
  <si>
    <t>WiXi</t>
  </si>
  <si>
    <t>rX2 WRT EWM</t>
  </si>
  <si>
    <t>X2 WRT EWM</t>
  </si>
  <si>
    <t>pX2</t>
  </si>
  <si>
    <t>With mass discrimination corrected</t>
  </si>
  <si>
    <t xml:space="preserve">This page of results includes mass discrimination correction. </t>
  </si>
  <si>
    <t>Table S1d: Complete step-degassing neon isotope measurements made on the BGC "Ohio" system in 2017.</t>
  </si>
  <si>
    <t>Data as collected without correction for mass discrimination</t>
  </si>
  <si>
    <r>
      <t xml:space="preserve">Excess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</si>
</sst>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4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10"/>
      <name val="Arial"/>
      <family val="0"/>
    </font>
    <font>
      <sz val="8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61"/>
      <name val="Comic Sans MS"/>
      <family val="0"/>
    </font>
    <font>
      <b/>
      <sz val="10"/>
      <name val="Arial"/>
      <family val="0"/>
    </font>
    <font>
      <vertAlign val="superscript"/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165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C54"/>
  <sheetViews>
    <sheetView workbookViewId="0" topLeftCell="A1">
      <selection activeCell="A6" sqref="A6"/>
    </sheetView>
  </sheetViews>
  <sheetFormatPr defaultColWidth="11.00390625" defaultRowHeight="15"/>
  <cols>
    <col min="1" max="1" width="13.25390625" style="0" customWidth="1"/>
    <col min="2" max="2" width="14.875" style="0" customWidth="1"/>
  </cols>
  <sheetData>
    <row r="3" ht="15">
      <c r="A3" t="s">
        <v>50</v>
      </c>
    </row>
    <row r="4" ht="15">
      <c r="A4" t="s">
        <v>51</v>
      </c>
    </row>
    <row r="5" ht="15">
      <c r="A5" t="s">
        <v>96</v>
      </c>
    </row>
    <row r="6" spans="1:24" ht="15">
      <c r="A6" s="1"/>
      <c r="B6" s="1"/>
      <c r="C6" s="1"/>
      <c r="D6" s="1"/>
      <c r="E6" s="1"/>
      <c r="F6" s="1"/>
      <c r="G6" s="1"/>
      <c r="H6" s="1"/>
      <c r="I6" s="1"/>
      <c r="J6" s="1"/>
      <c r="M6" s="1"/>
      <c r="N6" s="1"/>
      <c r="O6" s="1"/>
      <c r="P6" s="1"/>
      <c r="Q6" s="1" t="s">
        <v>56</v>
      </c>
      <c r="R6" s="1"/>
      <c r="S6" s="1" t="s">
        <v>57</v>
      </c>
      <c r="X6" s="1"/>
    </row>
    <row r="7" spans="1:27" ht="15">
      <c r="A7" s="1"/>
      <c r="B7" s="1"/>
      <c r="C7" s="1"/>
      <c r="D7" s="1"/>
      <c r="E7" s="1"/>
      <c r="F7" s="1"/>
      <c r="G7" s="1"/>
      <c r="H7" s="1"/>
      <c r="I7" s="1"/>
      <c r="J7" s="1"/>
      <c r="M7" s="1"/>
      <c r="N7" s="1"/>
      <c r="O7" s="1"/>
      <c r="P7" s="1"/>
      <c r="Q7" s="1" t="s">
        <v>0</v>
      </c>
      <c r="R7" s="1"/>
      <c r="S7" s="1" t="s">
        <v>1</v>
      </c>
      <c r="T7" s="1" t="s">
        <v>2</v>
      </c>
      <c r="U7" s="1" t="s">
        <v>58</v>
      </c>
      <c r="V7" s="1"/>
      <c r="W7" s="1" t="s">
        <v>3</v>
      </c>
      <c r="X7" s="1"/>
      <c r="AA7" t="s">
        <v>4</v>
      </c>
    </row>
    <row r="8" spans="1:22" ht="15">
      <c r="A8" s="1"/>
      <c r="B8" s="1"/>
      <c r="C8" s="1"/>
      <c r="D8" s="1" t="s">
        <v>5</v>
      </c>
      <c r="E8" s="1" t="s">
        <v>6</v>
      </c>
      <c r="F8" s="1" t="s">
        <v>6</v>
      </c>
      <c r="G8" s="35" t="s">
        <v>7</v>
      </c>
      <c r="H8" s="35"/>
      <c r="I8" s="35" t="s">
        <v>8</v>
      </c>
      <c r="J8" s="35"/>
      <c r="K8" s="35" t="s">
        <v>43</v>
      </c>
      <c r="L8" s="35"/>
      <c r="M8" s="1" t="s">
        <v>9</v>
      </c>
      <c r="N8" s="1"/>
      <c r="O8" s="1" t="s">
        <v>10</v>
      </c>
      <c r="P8" s="1"/>
      <c r="Q8" s="1" t="s">
        <v>11</v>
      </c>
      <c r="R8" s="1"/>
      <c r="S8" s="1" t="s">
        <v>12</v>
      </c>
      <c r="T8" s="1" t="s">
        <v>13</v>
      </c>
      <c r="U8" s="1"/>
      <c r="V8" s="1"/>
    </row>
    <row r="9" spans="1:29" ht="15">
      <c r="A9" s="1" t="s">
        <v>14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21</v>
      </c>
      <c r="I9" s="1" t="s">
        <v>22</v>
      </c>
      <c r="J9" s="1" t="s">
        <v>21</v>
      </c>
      <c r="K9" s="1" t="s">
        <v>22</v>
      </c>
      <c r="L9" s="1" t="s">
        <v>21</v>
      </c>
      <c r="M9" s="1" t="s">
        <v>23</v>
      </c>
      <c r="N9" s="1" t="s">
        <v>21</v>
      </c>
      <c r="O9" s="1" t="s">
        <v>23</v>
      </c>
      <c r="P9" s="1" t="s">
        <v>21</v>
      </c>
      <c r="Q9" s="1" t="s">
        <v>24</v>
      </c>
      <c r="R9" s="1" t="s">
        <v>21</v>
      </c>
      <c r="S9" s="1" t="s">
        <v>25</v>
      </c>
      <c r="T9" s="1" t="s">
        <v>12</v>
      </c>
      <c r="U9" s="1" t="s">
        <v>24</v>
      </c>
      <c r="V9" s="1" t="s">
        <v>21</v>
      </c>
      <c r="W9" s="1" t="s">
        <v>24</v>
      </c>
      <c r="X9" s="1"/>
      <c r="AA9" t="s">
        <v>22</v>
      </c>
      <c r="AB9" s="1" t="s">
        <v>21</v>
      </c>
      <c r="AC9" t="s">
        <v>26</v>
      </c>
    </row>
    <row r="11" spans="21:24" ht="15">
      <c r="U11" s="23"/>
      <c r="V11" s="23"/>
      <c r="W11" s="23"/>
      <c r="X11" s="23"/>
    </row>
    <row r="12" spans="1:29" ht="15">
      <c r="A12" t="s">
        <v>59</v>
      </c>
      <c r="B12" t="s">
        <v>73</v>
      </c>
      <c r="C12" t="s">
        <v>71</v>
      </c>
      <c r="D12">
        <v>0.1689</v>
      </c>
      <c r="E12">
        <v>850</v>
      </c>
      <c r="F12">
        <v>0.25</v>
      </c>
      <c r="G12">
        <v>6.354</v>
      </c>
      <c r="H12">
        <v>0.0618</v>
      </c>
      <c r="I12">
        <v>21.148</v>
      </c>
      <c r="J12">
        <v>0.458</v>
      </c>
      <c r="K12">
        <v>649.203</v>
      </c>
      <c r="L12">
        <v>8.965</v>
      </c>
      <c r="M12">
        <v>3.25</v>
      </c>
      <c r="N12">
        <v>0.038</v>
      </c>
      <c r="O12">
        <v>99.8</v>
      </c>
      <c r="P12">
        <v>0.8</v>
      </c>
      <c r="Q12">
        <v>11.25</v>
      </c>
      <c r="R12">
        <v>1.48</v>
      </c>
      <c r="S12" s="2">
        <f>100*(Q12/(I12/D12))</f>
        <v>8.98489218838661</v>
      </c>
      <c r="T12" s="2">
        <f>100*(Q12/U12)</f>
        <v>91.68704156479218</v>
      </c>
      <c r="U12" s="2">
        <f>SUM(Q12:Q13)</f>
        <v>12.27</v>
      </c>
      <c r="V12" s="2">
        <f>SQRT(R12^2+R13^2)</f>
        <v>1.5686937240902061</v>
      </c>
      <c r="W12" s="2">
        <f>(AA12/D12)-U12</f>
        <v>118.59441681468324</v>
      </c>
      <c r="AA12">
        <f>SUM(I12:I13)</f>
        <v>22.102999999999998</v>
      </c>
      <c r="AB12">
        <f>SQRT(J12^2+J13^2)</f>
        <v>0.4644276046920553</v>
      </c>
      <c r="AC12">
        <f>AA12/D12</f>
        <v>130.86441681468324</v>
      </c>
    </row>
    <row r="13" spans="1:20" ht="15">
      <c r="A13" t="s">
        <v>60</v>
      </c>
      <c r="D13">
        <v>0.1689</v>
      </c>
      <c r="E13">
        <v>1200</v>
      </c>
      <c r="F13">
        <v>0.25</v>
      </c>
      <c r="G13">
        <v>0.2588</v>
      </c>
      <c r="H13">
        <v>0.0147</v>
      </c>
      <c r="I13">
        <v>0.955</v>
      </c>
      <c r="J13">
        <v>0.077</v>
      </c>
      <c r="K13">
        <v>28.218</v>
      </c>
      <c r="L13">
        <v>3.265</v>
      </c>
      <c r="M13">
        <v>3.607</v>
      </c>
      <c r="N13">
        <v>0.348</v>
      </c>
      <c r="O13">
        <v>107.2</v>
      </c>
      <c r="P13">
        <v>13.7</v>
      </c>
      <c r="Q13">
        <v>1.02</v>
      </c>
      <c r="R13">
        <v>0.52</v>
      </c>
      <c r="S13" s="2">
        <f>100*(Q13/(I13/D12))</f>
        <v>18.039581151832458</v>
      </c>
      <c r="T13" s="2">
        <f>100*(Q13/U12)</f>
        <v>8.312958435207825</v>
      </c>
    </row>
    <row r="14" spans="19:20" ht="15">
      <c r="S14" s="2"/>
      <c r="T14" s="2"/>
    </row>
    <row r="15" spans="1:29" ht="15">
      <c r="A15" t="s">
        <v>61</v>
      </c>
      <c r="B15" t="s">
        <v>74</v>
      </c>
      <c r="C15" t="s">
        <v>71</v>
      </c>
      <c r="D15">
        <v>0.1447</v>
      </c>
      <c r="E15">
        <v>850</v>
      </c>
      <c r="F15">
        <v>0.25</v>
      </c>
      <c r="G15">
        <v>4.1501</v>
      </c>
      <c r="H15">
        <v>0.0418</v>
      </c>
      <c r="I15">
        <v>12.92</v>
      </c>
      <c r="J15">
        <v>0.31</v>
      </c>
      <c r="K15">
        <v>427.294</v>
      </c>
      <c r="L15">
        <v>6.166</v>
      </c>
      <c r="M15">
        <v>3.04</v>
      </c>
      <c r="N15">
        <v>0.048</v>
      </c>
      <c r="O15">
        <v>100.6</v>
      </c>
      <c r="P15">
        <v>0.9</v>
      </c>
      <c r="Q15">
        <v>2.39</v>
      </c>
      <c r="R15">
        <v>1.42</v>
      </c>
      <c r="S15" s="2">
        <f>100*(Q15/(I15/D15))</f>
        <v>2.6767260061919504</v>
      </c>
      <c r="T15" s="2">
        <f>100*(Q15/U15)</f>
        <v>57.869249394673126</v>
      </c>
      <c r="U15" s="2">
        <f>SUM(Q15:Q16)</f>
        <v>4.13</v>
      </c>
      <c r="V15" s="2">
        <f>SQRT(R15^2+R16^2)</f>
        <v>1.5338839591051208</v>
      </c>
      <c r="W15" s="2">
        <f>(AA15/D15)-U15</f>
        <v>90.77670352453353</v>
      </c>
      <c r="AA15">
        <f>SUM(I15:I16)</f>
        <v>13.733</v>
      </c>
      <c r="AB15">
        <f>SQRT(J15^2+J16^2)</f>
        <v>0.31825147289525624</v>
      </c>
      <c r="AC15">
        <f>AA15/D15</f>
        <v>94.90670352453353</v>
      </c>
    </row>
    <row r="16" spans="1:20" ht="15">
      <c r="A16" t="s">
        <v>62</v>
      </c>
      <c r="D16">
        <v>0.1447</v>
      </c>
      <c r="E16">
        <v>1200</v>
      </c>
      <c r="F16">
        <v>0.25</v>
      </c>
      <c r="G16">
        <v>0.1857</v>
      </c>
      <c r="H16">
        <v>0.0146</v>
      </c>
      <c r="I16">
        <v>0.813</v>
      </c>
      <c r="J16">
        <v>0.072</v>
      </c>
      <c r="K16">
        <v>18.942</v>
      </c>
      <c r="L16">
        <v>3.278</v>
      </c>
      <c r="M16">
        <v>4.278</v>
      </c>
      <c r="N16">
        <v>0.5</v>
      </c>
      <c r="O16">
        <v>100.3</v>
      </c>
      <c r="P16">
        <v>19</v>
      </c>
      <c r="Q16">
        <v>1.74</v>
      </c>
      <c r="R16">
        <v>0.58</v>
      </c>
      <c r="S16" s="2">
        <f>100*(Q16/(I16/D15))</f>
        <v>30.9690036900369</v>
      </c>
      <c r="T16" s="2">
        <f>100*(Q16/U15)</f>
        <v>42.13075060532688</v>
      </c>
    </row>
    <row r="17" spans="19:20" ht="15">
      <c r="S17" s="2"/>
      <c r="T17" s="2"/>
    </row>
    <row r="18" spans="1:29" ht="15">
      <c r="A18" t="s">
        <v>63</v>
      </c>
      <c r="B18" t="s">
        <v>75</v>
      </c>
      <c r="C18" t="s">
        <v>71</v>
      </c>
      <c r="D18">
        <v>0.1604</v>
      </c>
      <c r="E18">
        <v>850</v>
      </c>
      <c r="F18">
        <v>0.25</v>
      </c>
      <c r="G18">
        <v>5.9899</v>
      </c>
      <c r="H18">
        <v>0.058</v>
      </c>
      <c r="I18">
        <v>18.886</v>
      </c>
      <c r="J18">
        <v>0.438</v>
      </c>
      <c r="K18">
        <v>608.369</v>
      </c>
      <c r="L18">
        <v>8.457</v>
      </c>
      <c r="M18">
        <v>3.079</v>
      </c>
      <c r="N18">
        <v>0.044</v>
      </c>
      <c r="O18">
        <v>99.2</v>
      </c>
      <c r="P18">
        <v>0.8</v>
      </c>
      <c r="Q18">
        <v>4.61</v>
      </c>
      <c r="R18">
        <v>1.7</v>
      </c>
      <c r="S18" s="2">
        <f>100*(Q18/(I18/D18))</f>
        <v>3.9153023403579374</v>
      </c>
      <c r="T18" s="2">
        <f>100*(Q18/U18)</f>
        <v>82.174688057041</v>
      </c>
      <c r="U18" s="2">
        <f>SUM(Q18:Q19)</f>
        <v>5.61</v>
      </c>
      <c r="V18" s="2">
        <f>SQRT(R18^2+R19^2)</f>
        <v>1.8027756377319946</v>
      </c>
      <c r="W18" s="2">
        <f>(AA18/D18)-U18</f>
        <v>120.56830423940151</v>
      </c>
      <c r="AA18">
        <f>SUM(I18:I19)</f>
        <v>20.239</v>
      </c>
      <c r="AB18">
        <f>SQRT(J18^2+J19^2)</f>
        <v>0.446752728027485</v>
      </c>
      <c r="AC18">
        <f>AA18/D18</f>
        <v>126.17830423940151</v>
      </c>
    </row>
    <row r="19" spans="1:20" ht="15">
      <c r="A19" t="s">
        <v>64</v>
      </c>
      <c r="D19">
        <v>0.1604</v>
      </c>
      <c r="E19">
        <v>1200</v>
      </c>
      <c r="F19">
        <v>0.25</v>
      </c>
      <c r="G19">
        <v>0.3936</v>
      </c>
      <c r="H19">
        <v>0.016</v>
      </c>
      <c r="I19">
        <v>1.353</v>
      </c>
      <c r="J19">
        <v>0.088</v>
      </c>
      <c r="K19">
        <v>38.087</v>
      </c>
      <c r="L19">
        <v>3.281</v>
      </c>
      <c r="M19">
        <v>3.356</v>
      </c>
      <c r="N19">
        <v>0.248</v>
      </c>
      <c r="O19">
        <v>95.1</v>
      </c>
      <c r="P19">
        <v>9</v>
      </c>
      <c r="Q19">
        <v>1</v>
      </c>
      <c r="R19">
        <v>0.6</v>
      </c>
      <c r="S19" s="2">
        <f>100*(Q19/(I19/D18))</f>
        <v>11.855136733185512</v>
      </c>
      <c r="T19" s="2">
        <f>100*(Q19/U18)</f>
        <v>17.825311942959</v>
      </c>
    </row>
    <row r="20" spans="19:23" ht="15">
      <c r="S20" s="2"/>
      <c r="T20" s="2"/>
      <c r="U20" s="2"/>
      <c r="V20" s="2"/>
      <c r="W20" s="2"/>
    </row>
    <row r="21" spans="1:29" ht="15">
      <c r="A21" t="s">
        <v>65</v>
      </c>
      <c r="B21" t="s">
        <v>73</v>
      </c>
      <c r="C21" t="s">
        <v>72</v>
      </c>
      <c r="D21">
        <v>0.1234</v>
      </c>
      <c r="E21">
        <v>850</v>
      </c>
      <c r="F21">
        <v>0.25</v>
      </c>
      <c r="G21">
        <v>4.1607</v>
      </c>
      <c r="H21">
        <v>0.0624</v>
      </c>
      <c r="I21">
        <v>14.846</v>
      </c>
      <c r="J21">
        <v>0.328</v>
      </c>
      <c r="K21">
        <v>422.354</v>
      </c>
      <c r="L21">
        <v>6.363</v>
      </c>
      <c r="M21">
        <v>3.485</v>
      </c>
      <c r="N21">
        <v>0.067</v>
      </c>
      <c r="O21">
        <v>99.2</v>
      </c>
      <c r="P21">
        <v>0.8</v>
      </c>
      <c r="Q21">
        <v>18.21</v>
      </c>
      <c r="R21">
        <v>2.29</v>
      </c>
      <c r="S21" s="2">
        <f>100*(Q21/(I21/D21))</f>
        <v>15.136157887646503</v>
      </c>
      <c r="T21" s="2">
        <f>100*(Q21/U21)</f>
        <v>94.15718717683558</v>
      </c>
      <c r="U21" s="2">
        <f>SUM(Q21:Q22)</f>
        <v>19.34</v>
      </c>
      <c r="V21" s="2">
        <f>SQRT(R21^2+R22^2)</f>
        <v>2.3832121181296473</v>
      </c>
      <c r="W21" s="2">
        <f>(AA21/D21)-U21</f>
        <v>110.30343598055106</v>
      </c>
      <c r="AA21">
        <f>SUM(I21:I22)</f>
        <v>15.998</v>
      </c>
      <c r="AB21">
        <f>SQRT(J21^2+J22^2)</f>
        <v>0.3373796081567468</v>
      </c>
      <c r="AC21">
        <f>AA21/D21</f>
        <v>129.64343598055106</v>
      </c>
    </row>
    <row r="22" spans="1:20" ht="15">
      <c r="A22" t="s">
        <v>66</v>
      </c>
      <c r="D22">
        <v>0.1234</v>
      </c>
      <c r="E22">
        <v>1200</v>
      </c>
      <c r="F22">
        <v>0.25</v>
      </c>
      <c r="G22">
        <v>0.3358</v>
      </c>
      <c r="H22">
        <v>0.01</v>
      </c>
      <c r="I22">
        <v>1.152</v>
      </c>
      <c r="J22">
        <v>0.079</v>
      </c>
      <c r="K22">
        <v>33.21</v>
      </c>
      <c r="L22">
        <v>1.675</v>
      </c>
      <c r="M22">
        <v>3.365</v>
      </c>
      <c r="N22">
        <v>0.242</v>
      </c>
      <c r="O22">
        <v>96.8</v>
      </c>
      <c r="P22">
        <v>5.3</v>
      </c>
      <c r="Q22">
        <v>1.13</v>
      </c>
      <c r="R22">
        <v>0.66</v>
      </c>
      <c r="S22" s="2">
        <f>100*(Q22/(I22/D21))</f>
        <v>12.104340277777778</v>
      </c>
      <c r="T22" s="2">
        <f>100*(Q22/U21)</f>
        <v>5.842812823164426</v>
      </c>
    </row>
    <row r="24" spans="1:29" ht="15">
      <c r="A24" t="s">
        <v>67</v>
      </c>
      <c r="B24" t="s">
        <v>74</v>
      </c>
      <c r="C24" t="s">
        <v>72</v>
      </c>
      <c r="D24">
        <v>0.1535</v>
      </c>
      <c r="E24">
        <v>850</v>
      </c>
      <c r="F24">
        <v>0.25</v>
      </c>
      <c r="G24">
        <v>3.97</v>
      </c>
      <c r="H24">
        <v>0.0579</v>
      </c>
      <c r="I24">
        <v>12.737</v>
      </c>
      <c r="J24">
        <v>0.262</v>
      </c>
      <c r="K24">
        <v>404.596</v>
      </c>
      <c r="L24">
        <v>6.094</v>
      </c>
      <c r="M24">
        <v>3.134</v>
      </c>
      <c r="N24">
        <v>0.053</v>
      </c>
      <c r="O24">
        <v>99.6</v>
      </c>
      <c r="P24">
        <v>0.7</v>
      </c>
      <c r="Q24">
        <v>4.65</v>
      </c>
      <c r="R24">
        <v>1.41</v>
      </c>
      <c r="S24" s="2">
        <f>100*(Q24/(I24/D24))</f>
        <v>5.603949124597629</v>
      </c>
      <c r="T24" s="2">
        <f>100*(Q24/U24)</f>
        <v>97.48427672955975</v>
      </c>
      <c r="U24" s="2">
        <f>SUM(Q24:Q25)</f>
        <v>4.7700000000000005</v>
      </c>
      <c r="V24" s="2">
        <f>SQRT(R24^2+R25^2)</f>
        <v>1.477057886475679</v>
      </c>
      <c r="W24" s="2">
        <f>(AA24/D24)-U24</f>
        <v>83.0085016286645</v>
      </c>
      <c r="AA24">
        <f>SUM(I24:I25)</f>
        <v>13.474</v>
      </c>
      <c r="AB24">
        <f>SQRT(J24^2+J25^2)</f>
        <v>0.27018512172212594</v>
      </c>
      <c r="AC24">
        <f>AA24/D24</f>
        <v>87.7785016286645</v>
      </c>
    </row>
    <row r="25" spans="1:20" ht="15">
      <c r="A25" t="s">
        <v>68</v>
      </c>
      <c r="D25">
        <v>0.1535</v>
      </c>
      <c r="E25">
        <v>1200</v>
      </c>
      <c r="F25">
        <v>0.25</v>
      </c>
      <c r="G25">
        <v>0.2381</v>
      </c>
      <c r="H25">
        <v>0.0075</v>
      </c>
      <c r="I25">
        <v>0.737</v>
      </c>
      <c r="J25">
        <v>0.066</v>
      </c>
      <c r="K25">
        <v>25.61</v>
      </c>
      <c r="L25">
        <v>1.6</v>
      </c>
      <c r="M25">
        <v>3.038</v>
      </c>
      <c r="N25">
        <v>0.281</v>
      </c>
      <c r="O25">
        <v>105.3</v>
      </c>
      <c r="P25">
        <v>7</v>
      </c>
      <c r="Q25">
        <v>0.12</v>
      </c>
      <c r="R25">
        <v>0.44</v>
      </c>
      <c r="S25" s="2">
        <f>100*(Q25/(I25/D24))</f>
        <v>2.499321573948439</v>
      </c>
      <c r="T25" s="2">
        <f>100*(Q25/U24)</f>
        <v>2.5157232704402515</v>
      </c>
    </row>
    <row r="26" spans="19:20" ht="15">
      <c r="S26" s="2"/>
      <c r="T26" s="2"/>
    </row>
    <row r="27" spans="1:29" ht="15">
      <c r="A27" t="s">
        <v>69</v>
      </c>
      <c r="B27" t="s">
        <v>75</v>
      </c>
      <c r="C27" t="s">
        <v>72</v>
      </c>
      <c r="D27">
        <v>0.1645</v>
      </c>
      <c r="E27">
        <v>850</v>
      </c>
      <c r="F27">
        <v>0.25</v>
      </c>
      <c r="G27">
        <v>6.1668</v>
      </c>
      <c r="H27">
        <v>0.0907</v>
      </c>
      <c r="I27">
        <v>19.896</v>
      </c>
      <c r="J27">
        <v>0.378</v>
      </c>
      <c r="K27">
        <v>620.837</v>
      </c>
      <c r="L27">
        <v>9.098</v>
      </c>
      <c r="M27">
        <v>3.152</v>
      </c>
      <c r="N27">
        <v>0.048</v>
      </c>
      <c r="O27">
        <v>98.4</v>
      </c>
      <c r="P27">
        <v>0.6</v>
      </c>
      <c r="Q27">
        <v>7.44</v>
      </c>
      <c r="R27">
        <v>1.83</v>
      </c>
      <c r="S27" s="2">
        <f>100*(Q27/(I27/D27))</f>
        <v>6.151387213510253</v>
      </c>
      <c r="T27" s="2">
        <f>100*(Q27/U27)</f>
        <v>82.30088495575221</v>
      </c>
      <c r="U27" s="2">
        <f>SUM(Q27:Q28)</f>
        <v>9.040000000000001</v>
      </c>
      <c r="V27" s="2">
        <f>SQRT(R27^2+R28^2)</f>
        <v>1.9167159413955945</v>
      </c>
      <c r="W27" s="2">
        <f>(AA27/D27)-U27</f>
        <v>121.31258358662613</v>
      </c>
      <c r="AA27">
        <f>SUM(I27:I28)</f>
        <v>21.443</v>
      </c>
      <c r="AB27">
        <f>SQRT(J27^2+J28^2)</f>
        <v>0.3892723981995127</v>
      </c>
      <c r="AC27">
        <f>AA27/D27</f>
        <v>130.35258358662614</v>
      </c>
    </row>
    <row r="28" spans="1:20" ht="15">
      <c r="A28" t="s">
        <v>70</v>
      </c>
      <c r="D28">
        <v>0.1645</v>
      </c>
      <c r="E28">
        <v>1200</v>
      </c>
      <c r="F28">
        <v>0.25</v>
      </c>
      <c r="G28">
        <v>0.4259</v>
      </c>
      <c r="H28">
        <v>0.01</v>
      </c>
      <c r="I28">
        <v>1.547</v>
      </c>
      <c r="J28">
        <v>0.093</v>
      </c>
      <c r="K28">
        <v>46.974</v>
      </c>
      <c r="L28">
        <v>1.883</v>
      </c>
      <c r="M28">
        <v>3.565</v>
      </c>
      <c r="N28">
        <v>0.218</v>
      </c>
      <c r="O28">
        <v>107.9</v>
      </c>
      <c r="P28">
        <v>4.4</v>
      </c>
      <c r="Q28">
        <v>1.6</v>
      </c>
      <c r="R28">
        <v>0.57</v>
      </c>
      <c r="S28" s="2">
        <f>100*(Q28/(I28/D27))</f>
        <v>17.013574660633484</v>
      </c>
      <c r="T28" s="2">
        <f>100*(Q28/U27)</f>
        <v>17.699115044247787</v>
      </c>
    </row>
    <row r="29" spans="19:20" ht="15">
      <c r="S29" s="2"/>
      <c r="T29" s="2"/>
    </row>
    <row r="30" spans="19:20" ht="15">
      <c r="S30" s="2"/>
      <c r="T30" s="2"/>
    </row>
    <row r="32" spans="19:23" ht="15">
      <c r="S32" s="2"/>
      <c r="T32" s="2"/>
      <c r="U32" s="2"/>
      <c r="V32" s="2"/>
      <c r="W32" s="2"/>
    </row>
    <row r="33" spans="19:20" ht="15">
      <c r="S33" s="2"/>
      <c r="T33" s="2"/>
    </row>
    <row r="34" spans="19:20" ht="15">
      <c r="S34" s="2"/>
      <c r="T34" s="2"/>
    </row>
    <row r="36" spans="19:23" ht="15">
      <c r="S36" s="2"/>
      <c r="T36" s="2"/>
      <c r="U36" s="2"/>
      <c r="V36" s="2"/>
      <c r="W36" s="2"/>
    </row>
    <row r="37" spans="19:20" ht="15">
      <c r="S37" s="2"/>
      <c r="T37" s="2"/>
    </row>
    <row r="38" spans="19:20" ht="15">
      <c r="S38" s="2"/>
      <c r="T38" s="2"/>
    </row>
    <row r="40" spans="19:23" ht="15">
      <c r="S40" s="2"/>
      <c r="T40" s="2"/>
      <c r="U40" s="2"/>
      <c r="V40" s="2"/>
      <c r="W40" s="2"/>
    </row>
    <row r="41" spans="19:20" ht="15">
      <c r="S41" s="2"/>
      <c r="T41" s="2"/>
    </row>
    <row r="42" spans="19:20" ht="15">
      <c r="S42" s="2"/>
      <c r="T42" s="2"/>
    </row>
    <row r="44" spans="19:23" ht="15">
      <c r="S44" s="2"/>
      <c r="T44" s="2"/>
      <c r="U44" s="2"/>
      <c r="V44" s="2"/>
      <c r="W44" s="2"/>
    </row>
    <row r="45" spans="19:20" ht="15">
      <c r="S45" s="2"/>
      <c r="T45" s="2"/>
    </row>
    <row r="46" spans="19:20" ht="15">
      <c r="S46" s="2"/>
      <c r="T46" s="2"/>
    </row>
    <row r="48" spans="19:23" ht="15">
      <c r="S48" s="2"/>
      <c r="T48" s="2"/>
      <c r="U48" s="2"/>
      <c r="V48" s="2"/>
      <c r="W48" s="2"/>
    </row>
    <row r="49" spans="19:20" ht="15">
      <c r="S49" s="2"/>
      <c r="T49" s="2"/>
    </row>
    <row r="50" spans="19:20" ht="15">
      <c r="S50" s="2"/>
      <c r="T50" s="2"/>
    </row>
    <row r="52" spans="19:23" ht="15">
      <c r="S52" s="2"/>
      <c r="T52" s="2"/>
      <c r="U52" s="2"/>
      <c r="V52" s="2"/>
      <c r="W52" s="2"/>
    </row>
    <row r="53" spans="19:20" ht="15">
      <c r="S53" s="2"/>
      <c r="T53" s="2"/>
    </row>
    <row r="54" spans="19:20" ht="15">
      <c r="S54" s="2"/>
      <c r="T54" s="2"/>
    </row>
  </sheetData>
  <sheetProtection/>
  <mergeCells count="3">
    <mergeCell ref="G8:H8"/>
    <mergeCell ref="I8:J8"/>
    <mergeCell ref="K8:L8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54"/>
  <sheetViews>
    <sheetView workbookViewId="0" topLeftCell="A1">
      <selection activeCell="Q12" sqref="Q12"/>
    </sheetView>
  </sheetViews>
  <sheetFormatPr defaultColWidth="11.00390625" defaultRowHeight="15"/>
  <cols>
    <col min="1" max="1" width="13.25390625" style="0" customWidth="1"/>
    <col min="2" max="2" width="14.875" style="0" customWidth="1"/>
    <col min="17" max="17" width="13.25390625" style="0" bestFit="1" customWidth="1"/>
  </cols>
  <sheetData>
    <row r="3" ht="15">
      <c r="A3" t="s">
        <v>50</v>
      </c>
    </row>
    <row r="4" ht="15">
      <c r="A4" t="s">
        <v>51</v>
      </c>
    </row>
    <row r="6" spans="1:24" ht="15">
      <c r="A6" s="1" t="s">
        <v>94</v>
      </c>
      <c r="B6" s="1"/>
      <c r="C6" s="1"/>
      <c r="D6" s="1"/>
      <c r="E6" s="1"/>
      <c r="F6" s="1"/>
      <c r="G6" s="1"/>
      <c r="H6" s="1"/>
      <c r="I6" s="1"/>
      <c r="J6" s="1"/>
      <c r="M6" s="1"/>
      <c r="N6" s="1"/>
      <c r="O6" s="1"/>
      <c r="P6" s="1"/>
      <c r="R6" s="1"/>
      <c r="S6" s="1" t="s">
        <v>57</v>
      </c>
      <c r="X6" s="1"/>
    </row>
    <row r="7" spans="1:27" ht="15">
      <c r="A7" s="1"/>
      <c r="B7" s="1"/>
      <c r="C7" s="1"/>
      <c r="D7" s="1"/>
      <c r="E7" s="1"/>
      <c r="F7" s="1"/>
      <c r="G7" s="1"/>
      <c r="H7" s="1"/>
      <c r="I7" s="1"/>
      <c r="J7" s="1"/>
      <c r="M7" s="1"/>
      <c r="N7" s="1"/>
      <c r="O7" s="1"/>
      <c r="P7" s="1"/>
      <c r="Q7" s="1" t="s">
        <v>56</v>
      </c>
      <c r="R7" s="1"/>
      <c r="S7" s="1" t="s">
        <v>1</v>
      </c>
      <c r="T7" s="1" t="s">
        <v>2</v>
      </c>
      <c r="U7" s="1" t="s">
        <v>58</v>
      </c>
      <c r="V7" s="1"/>
      <c r="W7" s="1" t="s">
        <v>3</v>
      </c>
      <c r="X7" s="1"/>
      <c r="AA7" t="s">
        <v>4</v>
      </c>
    </row>
    <row r="8" spans="1:22" ht="15">
      <c r="A8" s="1"/>
      <c r="B8" s="1"/>
      <c r="C8" s="1"/>
      <c r="D8" s="1" t="s">
        <v>5</v>
      </c>
      <c r="E8" s="1" t="s">
        <v>6</v>
      </c>
      <c r="F8" s="1" t="s">
        <v>6</v>
      </c>
      <c r="G8" s="35" t="s">
        <v>7</v>
      </c>
      <c r="H8" s="35"/>
      <c r="I8" s="35" t="s">
        <v>8</v>
      </c>
      <c r="J8" s="35"/>
      <c r="K8" s="35" t="s">
        <v>43</v>
      </c>
      <c r="L8" s="35"/>
      <c r="M8" s="1" t="s">
        <v>9</v>
      </c>
      <c r="N8" s="1"/>
      <c r="O8" s="1" t="s">
        <v>10</v>
      </c>
      <c r="P8" s="1"/>
      <c r="Q8" s="1" t="s">
        <v>0</v>
      </c>
      <c r="R8" s="1"/>
      <c r="S8" s="1" t="s">
        <v>12</v>
      </c>
      <c r="T8" s="1" t="s">
        <v>13</v>
      </c>
      <c r="U8" s="1"/>
      <c r="V8" s="1"/>
    </row>
    <row r="9" spans="1:29" ht="15">
      <c r="A9" s="1" t="s">
        <v>14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1" t="s">
        <v>21</v>
      </c>
      <c r="I9" s="1" t="s">
        <v>22</v>
      </c>
      <c r="J9" s="1" t="s">
        <v>21</v>
      </c>
      <c r="K9" s="1" t="s">
        <v>22</v>
      </c>
      <c r="L9" s="1" t="s">
        <v>21</v>
      </c>
      <c r="M9" s="1" t="s">
        <v>23</v>
      </c>
      <c r="N9" s="1" t="s">
        <v>21</v>
      </c>
      <c r="O9" s="1" t="s">
        <v>23</v>
      </c>
      <c r="P9" s="1" t="s">
        <v>21</v>
      </c>
      <c r="Q9" s="1" t="s">
        <v>24</v>
      </c>
      <c r="R9" s="1" t="s">
        <v>21</v>
      </c>
      <c r="S9" s="1" t="s">
        <v>25</v>
      </c>
      <c r="T9" s="1" t="s">
        <v>12</v>
      </c>
      <c r="U9" s="1" t="s">
        <v>24</v>
      </c>
      <c r="V9" s="1" t="s">
        <v>21</v>
      </c>
      <c r="W9" s="1" t="s">
        <v>24</v>
      </c>
      <c r="X9" s="1"/>
      <c r="AA9" t="s">
        <v>22</v>
      </c>
      <c r="AB9" s="1" t="s">
        <v>21</v>
      </c>
      <c r="AC9" t="s">
        <v>26</v>
      </c>
    </row>
    <row r="11" spans="21:24" ht="15">
      <c r="U11" s="23"/>
      <c r="V11" s="23"/>
      <c r="W11" s="23"/>
      <c r="X11" s="23"/>
    </row>
    <row r="12" spans="1:29" ht="15">
      <c r="A12" t="s">
        <v>59</v>
      </c>
      <c r="B12" t="s">
        <v>73</v>
      </c>
      <c r="C12" t="s">
        <v>71</v>
      </c>
      <c r="D12">
        <v>0.1689</v>
      </c>
      <c r="E12">
        <v>850</v>
      </c>
      <c r="F12">
        <v>0.25</v>
      </c>
      <c r="G12">
        <v>6.354</v>
      </c>
      <c r="H12">
        <v>0.0618</v>
      </c>
      <c r="I12">
        <v>21.148</v>
      </c>
      <c r="J12">
        <v>0.458</v>
      </c>
      <c r="K12">
        <v>649.203</v>
      </c>
      <c r="L12">
        <v>8.965</v>
      </c>
      <c r="M12" s="34">
        <f>(I12*1000000)*1000/(G12*1000000000)</f>
        <v>3.3282971356625746</v>
      </c>
      <c r="N12">
        <v>0.038</v>
      </c>
      <c r="O12" s="19">
        <f>(K12*1000000)*1000/(G12*1000000000)</f>
        <v>102.17233238904628</v>
      </c>
      <c r="P12">
        <v>0.8</v>
      </c>
      <c r="Q12" s="19">
        <f>(I12*1000000-(G12*1000000000*0.002959))/D12/1000000</f>
        <v>13.892918886915336</v>
      </c>
      <c r="R12">
        <v>1.48</v>
      </c>
      <c r="S12" s="2">
        <f>100*(Q12/(I12/D12))</f>
        <v>11.095678078305278</v>
      </c>
      <c r="T12" s="2">
        <f>100*(Q12/U12)</f>
        <v>92.53819657401307</v>
      </c>
      <c r="U12" s="2">
        <f>SUM(Q12:Q13)</f>
        <v>15.013172291296627</v>
      </c>
      <c r="V12" s="2">
        <f>SQRT(R12^2+R13^2)</f>
        <v>1.5686937240902061</v>
      </c>
      <c r="W12" s="2">
        <f>(AA12/D12)-U12</f>
        <v>115.85124452338661</v>
      </c>
      <c r="AA12">
        <f>SUM(I12:I13)</f>
        <v>22.102999999999998</v>
      </c>
      <c r="AB12">
        <f>SQRT(J12^2+J13^2)</f>
        <v>0.4644276046920553</v>
      </c>
      <c r="AC12">
        <f>AA12/D12</f>
        <v>130.86441681468324</v>
      </c>
    </row>
    <row r="13" spans="1:20" ht="15">
      <c r="A13" t="s">
        <v>60</v>
      </c>
      <c r="D13">
        <v>0.1689</v>
      </c>
      <c r="E13">
        <v>1200</v>
      </c>
      <c r="F13">
        <v>0.25</v>
      </c>
      <c r="G13">
        <v>0.2588</v>
      </c>
      <c r="H13">
        <v>0.0147</v>
      </c>
      <c r="I13">
        <v>0.955</v>
      </c>
      <c r="J13">
        <v>0.077</v>
      </c>
      <c r="K13">
        <v>28.218</v>
      </c>
      <c r="L13">
        <v>3.265</v>
      </c>
      <c r="M13" s="34">
        <f>(I13*1000000)*1000/(G13*1000000000)</f>
        <v>3.690108191653787</v>
      </c>
      <c r="N13">
        <v>0.348</v>
      </c>
      <c r="O13" s="19">
        <f>(K13*1000000)*1000/(G13*1000000000)</f>
        <v>109.03400309119012</v>
      </c>
      <c r="P13">
        <v>13.7</v>
      </c>
      <c r="Q13" s="19">
        <f>(I13*1000000-(G13*1000000000*0.002959))/D13/1000000</f>
        <v>1.1202534043812917</v>
      </c>
      <c r="R13">
        <v>0.52</v>
      </c>
      <c r="S13" s="2">
        <f>100*(Q13/(I13/D12))</f>
        <v>19.812649214659704</v>
      </c>
      <c r="T13" s="2">
        <f>100*(Q13/U12)</f>
        <v>7.461803425986926</v>
      </c>
    </row>
    <row r="14" spans="19:20" ht="15">
      <c r="S14" s="2"/>
      <c r="T14" s="2"/>
    </row>
    <row r="15" spans="1:29" ht="15">
      <c r="A15" t="s">
        <v>61</v>
      </c>
      <c r="B15" t="s">
        <v>74</v>
      </c>
      <c r="C15" t="s">
        <v>71</v>
      </c>
      <c r="D15">
        <v>0.1447</v>
      </c>
      <c r="E15">
        <v>850</v>
      </c>
      <c r="F15">
        <v>0.25</v>
      </c>
      <c r="G15">
        <v>4.1501</v>
      </c>
      <c r="H15">
        <v>0.0418</v>
      </c>
      <c r="I15">
        <v>12.92</v>
      </c>
      <c r="J15">
        <v>0.31</v>
      </c>
      <c r="K15">
        <v>427.294</v>
      </c>
      <c r="L15">
        <v>6.166</v>
      </c>
      <c r="M15" s="34">
        <f>(I15*1000000)*1000/(G15*1000000000)</f>
        <v>3.113177995710947</v>
      </c>
      <c r="N15">
        <v>0.048</v>
      </c>
      <c r="O15" s="19">
        <f>(K15*1000000)*1000/(G15*1000000000)</f>
        <v>102.95992867641743</v>
      </c>
      <c r="P15">
        <v>0.9</v>
      </c>
      <c r="Q15" s="19">
        <f>(I15*1000000-(G15*1000000000*0.002959))/D15/1000000</f>
        <v>4.421935729094689</v>
      </c>
      <c r="R15">
        <v>1.42</v>
      </c>
      <c r="S15" s="2">
        <f>100*(Q15/(I15/D15))</f>
        <v>4.9524311145510955</v>
      </c>
      <c r="T15" s="2">
        <f>100*(Q15/U15)</f>
        <v>70.82985468377336</v>
      </c>
      <c r="U15" s="2">
        <f>SUM(Q15:Q16)</f>
        <v>6.243039391845208</v>
      </c>
      <c r="V15" s="2">
        <f>SQRT(R15^2+R16^2)</f>
        <v>1.5338839591051208</v>
      </c>
      <c r="W15" s="2">
        <f>(AA15/D15)-U15</f>
        <v>88.66366413268833</v>
      </c>
      <c r="AA15">
        <f>SUM(I15:I16)</f>
        <v>13.733</v>
      </c>
      <c r="AB15">
        <f>SQRT(J15^2+J16^2)</f>
        <v>0.31825147289525624</v>
      </c>
      <c r="AC15">
        <f>AA15/D15</f>
        <v>94.90670352453353</v>
      </c>
    </row>
    <row r="16" spans="1:20" ht="15">
      <c r="A16" t="s">
        <v>62</v>
      </c>
      <c r="D16">
        <v>0.1447</v>
      </c>
      <c r="E16">
        <v>1200</v>
      </c>
      <c r="F16">
        <v>0.25</v>
      </c>
      <c r="G16">
        <v>0.1857</v>
      </c>
      <c r="H16">
        <v>0.0146</v>
      </c>
      <c r="I16">
        <v>0.813</v>
      </c>
      <c r="J16">
        <v>0.072</v>
      </c>
      <c r="K16">
        <v>18.942</v>
      </c>
      <c r="L16">
        <v>3.278</v>
      </c>
      <c r="M16" s="34">
        <f>(I16*1000000)*1000/(G16*1000000000)</f>
        <v>4.378029079159935</v>
      </c>
      <c r="N16">
        <v>0.5</v>
      </c>
      <c r="O16" s="19">
        <f>(K16*1000000)*1000/(G16*1000000000)</f>
        <v>102.0032310177706</v>
      </c>
      <c r="P16">
        <v>19</v>
      </c>
      <c r="Q16" s="19">
        <f>(I16*1000000-(G16*1000000000*0.002959))/D16/1000000</f>
        <v>1.8211036627505188</v>
      </c>
      <c r="R16">
        <v>0.58</v>
      </c>
      <c r="S16" s="2">
        <f>100*(Q16/(I16/D15))</f>
        <v>32.41250922509226</v>
      </c>
      <c r="T16" s="2">
        <f>100*(Q16/U15)</f>
        <v>29.170145316226638</v>
      </c>
    </row>
    <row r="17" spans="19:20" ht="15">
      <c r="S17" s="2"/>
      <c r="T17" s="2"/>
    </row>
    <row r="18" spans="1:29" ht="15">
      <c r="A18" t="s">
        <v>63</v>
      </c>
      <c r="B18" t="s">
        <v>75</v>
      </c>
      <c r="C18" t="s">
        <v>71</v>
      </c>
      <c r="D18">
        <v>0.1604</v>
      </c>
      <c r="E18">
        <v>850</v>
      </c>
      <c r="F18">
        <v>0.25</v>
      </c>
      <c r="G18">
        <v>5.9899</v>
      </c>
      <c r="H18">
        <v>0.058</v>
      </c>
      <c r="I18">
        <v>18.886</v>
      </c>
      <c r="J18">
        <v>0.438</v>
      </c>
      <c r="K18">
        <v>608.369</v>
      </c>
      <c r="L18">
        <v>8.457</v>
      </c>
      <c r="M18" s="34">
        <f>(I18*1000000)*1000/(G18*1000000000)</f>
        <v>3.1529741731915393</v>
      </c>
      <c r="N18">
        <v>0.044</v>
      </c>
      <c r="O18" s="19">
        <f>(K18*1000000)*1000/(G18*1000000000)</f>
        <v>101.56580243409739</v>
      </c>
      <c r="P18">
        <v>0.8</v>
      </c>
      <c r="Q18" s="19">
        <f>(I18*1000000-(G18*1000000000*0.002959))/D18/1000000</f>
        <v>7.24367768079802</v>
      </c>
      <c r="R18">
        <v>1.7</v>
      </c>
      <c r="S18" s="2">
        <f>100*(Q18/(I18/D18))</f>
        <v>6.1521015567086845</v>
      </c>
      <c r="T18" s="2">
        <f>100*(Q18/U18)</f>
        <v>86.05137593887237</v>
      </c>
      <c r="U18" s="2">
        <f>SUM(Q18:Q19)</f>
        <v>8.417852244389042</v>
      </c>
      <c r="V18" s="2">
        <f>SQRT(R18^2+R19^2)</f>
        <v>1.8027756377319946</v>
      </c>
      <c r="W18" s="2">
        <f>(AA18/D18)-U18</f>
        <v>117.76045199501247</v>
      </c>
      <c r="AA18">
        <f>SUM(I18:I19)</f>
        <v>20.239</v>
      </c>
      <c r="AB18">
        <f>SQRT(J18^2+J19^2)</f>
        <v>0.446752728027485</v>
      </c>
      <c r="AC18">
        <f>AA18/D18</f>
        <v>126.17830423940151</v>
      </c>
    </row>
    <row r="19" spans="1:20" ht="15">
      <c r="A19" t="s">
        <v>64</v>
      </c>
      <c r="D19">
        <v>0.1604</v>
      </c>
      <c r="E19">
        <v>1200</v>
      </c>
      <c r="F19">
        <v>0.25</v>
      </c>
      <c r="G19">
        <v>0.3936</v>
      </c>
      <c r="H19">
        <v>0.016</v>
      </c>
      <c r="I19">
        <v>1.353</v>
      </c>
      <c r="J19">
        <v>0.088</v>
      </c>
      <c r="K19">
        <v>38.087</v>
      </c>
      <c r="L19">
        <v>3.281</v>
      </c>
      <c r="M19" s="34">
        <f>(I19*1000000)*1000/(G19*1000000000)</f>
        <v>3.4375</v>
      </c>
      <c r="N19">
        <v>0.248</v>
      </c>
      <c r="O19" s="19">
        <f>(K19*1000000)*1000/(G19*1000000000)</f>
        <v>96.76575203252033</v>
      </c>
      <c r="P19">
        <v>9</v>
      </c>
      <c r="Q19" s="19">
        <f>(I19*1000000-(G19*1000000000*0.002959))/D19/1000000</f>
        <v>1.1741745635910232</v>
      </c>
      <c r="R19">
        <v>0.6</v>
      </c>
      <c r="S19" s="2">
        <f>100*(Q19/(I19/D18))</f>
        <v>13.920000000000007</v>
      </c>
      <c r="T19" s="2">
        <f>100*(Q19/U18)</f>
        <v>13.948624061127642</v>
      </c>
    </row>
    <row r="20" spans="19:23" ht="15">
      <c r="S20" s="2"/>
      <c r="T20" s="2"/>
      <c r="U20" s="2"/>
      <c r="V20" s="2"/>
      <c r="W20" s="2"/>
    </row>
    <row r="21" spans="1:29" ht="15">
      <c r="A21" t="s">
        <v>65</v>
      </c>
      <c r="B21" t="s">
        <v>73</v>
      </c>
      <c r="C21" t="s">
        <v>72</v>
      </c>
      <c r="D21">
        <v>0.1234</v>
      </c>
      <c r="E21">
        <v>850</v>
      </c>
      <c r="F21">
        <v>0.25</v>
      </c>
      <c r="G21">
        <v>4.1607</v>
      </c>
      <c r="H21">
        <v>0.0624</v>
      </c>
      <c r="I21">
        <v>14.846</v>
      </c>
      <c r="J21">
        <v>0.328</v>
      </c>
      <c r="K21">
        <v>422.354</v>
      </c>
      <c r="L21">
        <v>6.363</v>
      </c>
      <c r="M21" s="34">
        <f>(I21*1000000)*1000/(G21*1000000000)</f>
        <v>3.568149590213185</v>
      </c>
      <c r="N21">
        <v>0.067</v>
      </c>
      <c r="O21" s="19">
        <f>(K21*1000000)*1000/(G21*1000000000)</f>
        <v>101.51032278222414</v>
      </c>
      <c r="P21">
        <v>0.8</v>
      </c>
      <c r="Q21" s="19">
        <f>(I21*1000000-(G21*1000000000*0.002959))/D21/1000000</f>
        <v>20.53880632090761</v>
      </c>
      <c r="R21">
        <v>2.29</v>
      </c>
      <c r="S21" s="2">
        <f>100*(Q21/(I21/D21))</f>
        <v>17.0718624545332</v>
      </c>
      <c r="T21" s="2">
        <f>100*(Q21/U21)</f>
        <v>94.11896623529698</v>
      </c>
      <c r="U21" s="2">
        <f>SUM(Q21:Q22)</f>
        <v>21.822175850891405</v>
      </c>
      <c r="V21" s="2">
        <f>SQRT(R21^2+R22^2)</f>
        <v>2.3832121181296473</v>
      </c>
      <c r="W21" s="2">
        <f>(AA21/D21)-U21</f>
        <v>107.82126012965966</v>
      </c>
      <c r="AA21">
        <f>SUM(I21:I22)</f>
        <v>15.998</v>
      </c>
      <c r="AB21">
        <f>SQRT(J21^2+J22^2)</f>
        <v>0.3373796081567468</v>
      </c>
      <c r="AC21">
        <f>AA21/D21</f>
        <v>129.64343598055106</v>
      </c>
    </row>
    <row r="22" spans="1:20" ht="15">
      <c r="A22" t="s">
        <v>66</v>
      </c>
      <c r="D22">
        <v>0.1234</v>
      </c>
      <c r="E22">
        <v>1200</v>
      </c>
      <c r="F22">
        <v>0.25</v>
      </c>
      <c r="G22">
        <v>0.3358</v>
      </c>
      <c r="H22">
        <v>0.01</v>
      </c>
      <c r="I22">
        <v>1.152</v>
      </c>
      <c r="J22">
        <v>0.079</v>
      </c>
      <c r="K22">
        <v>33.21</v>
      </c>
      <c r="L22">
        <v>1.675</v>
      </c>
      <c r="M22" s="34">
        <f>(I22*1000000)*1000/(G22*1000000000)</f>
        <v>3.4306134603930913</v>
      </c>
      <c r="N22">
        <v>0.242</v>
      </c>
      <c r="O22" s="19">
        <f>(K22*1000000)*1000/(G22*1000000000)</f>
        <v>98.89815366289459</v>
      </c>
      <c r="P22">
        <v>5.3</v>
      </c>
      <c r="Q22" s="19">
        <f>(I22*1000000-(G22*1000000000*0.002959))/D22/1000000</f>
        <v>1.2833695299837928</v>
      </c>
      <c r="R22">
        <v>0.66</v>
      </c>
      <c r="S22" s="2">
        <f>100*(Q22/(I22/D21))</f>
        <v>13.747204861111115</v>
      </c>
      <c r="T22" s="2">
        <f>100*(Q22/U21)</f>
        <v>5.881033764703023</v>
      </c>
    </row>
    <row r="24" spans="1:29" ht="15">
      <c r="A24" t="s">
        <v>67</v>
      </c>
      <c r="B24" t="s">
        <v>74</v>
      </c>
      <c r="C24" t="s">
        <v>72</v>
      </c>
      <c r="D24">
        <v>0.1535</v>
      </c>
      <c r="E24">
        <v>850</v>
      </c>
      <c r="F24">
        <v>0.25</v>
      </c>
      <c r="G24">
        <v>3.97</v>
      </c>
      <c r="H24">
        <v>0.0579</v>
      </c>
      <c r="I24">
        <v>12.737</v>
      </c>
      <c r="J24">
        <v>0.262</v>
      </c>
      <c r="K24">
        <v>404.596</v>
      </c>
      <c r="L24">
        <v>6.094</v>
      </c>
      <c r="M24" s="34">
        <f>(I24*1000000)*1000/(G24*1000000000)</f>
        <v>3.2083123425692697</v>
      </c>
      <c r="N24">
        <v>0.053</v>
      </c>
      <c r="O24" s="19">
        <f>(K24*1000000)*1000/(G24*1000000000)</f>
        <v>101.91335012594459</v>
      </c>
      <c r="P24">
        <v>0.7</v>
      </c>
      <c r="Q24" s="19">
        <f>(I24*1000000-(G24*1000000000*0.002959))/D24/1000000</f>
        <v>6.448013029315961</v>
      </c>
      <c r="R24">
        <v>1.41</v>
      </c>
      <c r="S24" s="2">
        <f>100*(Q24/(I24/D24))</f>
        <v>7.770825155060061</v>
      </c>
      <c r="T24" s="2">
        <f>100*(Q24/U24)</f>
        <v>96.82439046866166</v>
      </c>
      <c r="U24" s="2">
        <f>SUM(Q24:Q25)</f>
        <v>6.659492508143323</v>
      </c>
      <c r="V24" s="2">
        <f>SQRT(R24^2+R25^2)</f>
        <v>1.477057886475679</v>
      </c>
      <c r="W24" s="2">
        <f>(AA24/D24)-U24</f>
        <v>81.11900912052118</v>
      </c>
      <c r="AA24">
        <f>SUM(I24:I25)</f>
        <v>13.474</v>
      </c>
      <c r="AB24">
        <f>SQRT(J24^2+J25^2)</f>
        <v>0.27018512172212594</v>
      </c>
      <c r="AC24">
        <f>AA24/D24</f>
        <v>87.7785016286645</v>
      </c>
    </row>
    <row r="25" spans="1:20" ht="15">
      <c r="A25" t="s">
        <v>68</v>
      </c>
      <c r="D25">
        <v>0.1535</v>
      </c>
      <c r="E25">
        <v>1200</v>
      </c>
      <c r="F25">
        <v>0.25</v>
      </c>
      <c r="G25">
        <v>0.2381</v>
      </c>
      <c r="H25">
        <v>0.0075</v>
      </c>
      <c r="I25">
        <v>0.737</v>
      </c>
      <c r="J25">
        <v>0.066</v>
      </c>
      <c r="K25">
        <v>25.61</v>
      </c>
      <c r="L25">
        <v>1.6</v>
      </c>
      <c r="M25" s="34">
        <f>(I25*1000000)*1000/(G25*1000000000)</f>
        <v>3.0953380932381354</v>
      </c>
      <c r="N25">
        <v>0.281</v>
      </c>
      <c r="O25" s="19">
        <f>(K25*1000000)*1000/(G25*1000000000)</f>
        <v>107.55984880302394</v>
      </c>
      <c r="P25">
        <v>7</v>
      </c>
      <c r="Q25" s="19">
        <f>(I25*1000000-(G25*1000000000*0.002959))/D25/1000000</f>
        <v>0.21147947882736218</v>
      </c>
      <c r="R25">
        <v>0.44</v>
      </c>
      <c r="S25" s="2">
        <f>100*(Q25/(I25/D24))</f>
        <v>4.404626865671654</v>
      </c>
      <c r="T25" s="2">
        <f>100*(Q25/U24)</f>
        <v>3.1756095313383423</v>
      </c>
    </row>
    <row r="26" spans="19:20" ht="15">
      <c r="S26" s="2"/>
      <c r="T26" s="2"/>
    </row>
    <row r="27" spans="1:29" ht="15">
      <c r="A27" t="s">
        <v>69</v>
      </c>
      <c r="B27" t="s">
        <v>75</v>
      </c>
      <c r="C27" t="s">
        <v>72</v>
      </c>
      <c r="D27">
        <v>0.1645</v>
      </c>
      <c r="E27">
        <v>850</v>
      </c>
      <c r="F27">
        <v>0.25</v>
      </c>
      <c r="G27">
        <v>6.1668</v>
      </c>
      <c r="H27">
        <v>0.0907</v>
      </c>
      <c r="I27">
        <v>19.896</v>
      </c>
      <c r="J27">
        <v>0.378</v>
      </c>
      <c r="K27">
        <v>620.837</v>
      </c>
      <c r="L27">
        <v>9.098</v>
      </c>
      <c r="M27" s="34">
        <f>(I27*1000000)*1000/(G27*1000000000)</f>
        <v>3.2263086203541547</v>
      </c>
      <c r="N27">
        <v>0.048</v>
      </c>
      <c r="O27" s="19">
        <f>(K27*1000000)*1000/(G27*1000000000)</f>
        <v>100.6740935331128</v>
      </c>
      <c r="P27">
        <v>0.6</v>
      </c>
      <c r="Q27" s="19">
        <f>(I27*1000000-(G27*1000000000*0.002959))/D27/1000000</f>
        <v>10.020904559270521</v>
      </c>
      <c r="R27">
        <v>1.83</v>
      </c>
      <c r="S27" s="2">
        <f>100*(Q27/(I27/D27))</f>
        <v>8.285277442702053</v>
      </c>
      <c r="T27" s="2">
        <f>100*(Q27/U27)</f>
        <v>85.18180052332556</v>
      </c>
      <c r="U27" s="2">
        <f>SUM(Q27:Q28)</f>
        <v>11.764137993920977</v>
      </c>
      <c r="V27" s="2">
        <f>SQRT(R27^2+R28^2)</f>
        <v>1.9167159413955945</v>
      </c>
      <c r="W27" s="2">
        <f>(AA27/D27)-U27</f>
        <v>118.58844559270516</v>
      </c>
      <c r="AA27">
        <f>SUM(I27:I28)</f>
        <v>21.443</v>
      </c>
      <c r="AB27">
        <f>SQRT(J27^2+J28^2)</f>
        <v>0.3892723981995127</v>
      </c>
      <c r="AC27">
        <f>AA27/D27</f>
        <v>130.35258358662614</v>
      </c>
    </row>
    <row r="28" spans="1:20" ht="15">
      <c r="A28" t="s">
        <v>70</v>
      </c>
      <c r="D28">
        <v>0.1645</v>
      </c>
      <c r="E28">
        <v>1200</v>
      </c>
      <c r="F28">
        <v>0.25</v>
      </c>
      <c r="G28">
        <v>0.4259</v>
      </c>
      <c r="H28">
        <v>0.01</v>
      </c>
      <c r="I28">
        <v>1.547</v>
      </c>
      <c r="J28">
        <v>0.093</v>
      </c>
      <c r="K28">
        <v>46.974</v>
      </c>
      <c r="L28">
        <v>1.883</v>
      </c>
      <c r="M28" s="34">
        <f>(I28*1000000)*1000/(G28*1000000000)</f>
        <v>3.6323080535336936</v>
      </c>
      <c r="N28">
        <v>0.218</v>
      </c>
      <c r="O28" s="19">
        <f>(K28*1000000)*1000/(G28*1000000000)</f>
        <v>110.29349612585114</v>
      </c>
      <c r="P28">
        <v>4.4</v>
      </c>
      <c r="Q28" s="19">
        <f>(I28*1000000-(G28*1000000000*0.002959))/D28/1000000</f>
        <v>1.7432334346504568</v>
      </c>
      <c r="R28">
        <v>0.57</v>
      </c>
      <c r="S28" s="2">
        <f>100*(Q28/(I28/D27))</f>
        <v>18.536645119586307</v>
      </c>
      <c r="T28" s="2">
        <f>100*(Q28/U27)</f>
        <v>14.818199476674437</v>
      </c>
    </row>
    <row r="29" spans="19:20" ht="15">
      <c r="S29" s="2"/>
      <c r="T29" s="2"/>
    </row>
    <row r="30" spans="19:20" ht="15">
      <c r="S30" s="2"/>
      <c r="T30" s="2"/>
    </row>
    <row r="32" spans="19:23" ht="15">
      <c r="S32" s="2"/>
      <c r="T32" s="2"/>
      <c r="U32" s="2"/>
      <c r="V32" s="2"/>
      <c r="W32" s="2"/>
    </row>
    <row r="33" spans="19:20" ht="15">
      <c r="S33" s="2"/>
      <c r="T33" s="2"/>
    </row>
    <row r="34" spans="19:20" ht="15">
      <c r="S34" s="2"/>
      <c r="T34" s="2"/>
    </row>
    <row r="36" spans="19:23" ht="15">
      <c r="S36" s="2"/>
      <c r="T36" s="2"/>
      <c r="U36" s="2"/>
      <c r="V36" s="2"/>
      <c r="W36" s="2"/>
    </row>
    <row r="37" spans="19:20" ht="15">
      <c r="S37" s="2"/>
      <c r="T37" s="2"/>
    </row>
    <row r="38" spans="19:20" ht="15">
      <c r="S38" s="2"/>
      <c r="T38" s="2"/>
    </row>
    <row r="40" spans="19:23" ht="15">
      <c r="S40" s="2"/>
      <c r="T40" s="2"/>
      <c r="U40" s="2"/>
      <c r="V40" s="2"/>
      <c r="W40" s="2"/>
    </row>
    <row r="41" spans="19:20" ht="15">
      <c r="S41" s="2"/>
      <c r="T41" s="2"/>
    </row>
    <row r="42" spans="19:20" ht="15">
      <c r="S42" s="2"/>
      <c r="T42" s="2"/>
    </row>
    <row r="44" spans="19:23" ht="15">
      <c r="S44" s="2"/>
      <c r="T44" s="2"/>
      <c r="U44" s="2"/>
      <c r="V44" s="2"/>
      <c r="W44" s="2"/>
    </row>
    <row r="45" spans="19:20" ht="15">
      <c r="S45" s="2"/>
      <c r="T45" s="2"/>
    </row>
    <row r="46" spans="19:20" ht="15">
      <c r="S46" s="2"/>
      <c r="T46" s="2"/>
    </row>
    <row r="48" spans="19:23" ht="15">
      <c r="S48" s="2"/>
      <c r="T48" s="2"/>
      <c r="U48" s="2"/>
      <c r="V48" s="2"/>
      <c r="W48" s="2"/>
    </row>
    <row r="49" spans="19:20" ht="15">
      <c r="S49" s="2"/>
      <c r="T49" s="2"/>
    </row>
    <row r="50" spans="19:20" ht="15">
      <c r="S50" s="2"/>
      <c r="T50" s="2"/>
    </row>
    <row r="52" spans="19:23" ht="15">
      <c r="S52" s="2"/>
      <c r="T52" s="2"/>
      <c r="U52" s="2"/>
      <c r="V52" s="2"/>
      <c r="W52" s="2"/>
    </row>
    <row r="53" spans="19:20" ht="15">
      <c r="S53" s="2"/>
      <c r="T53" s="2"/>
    </row>
    <row r="54" spans="19:20" ht="15">
      <c r="S54" s="2"/>
      <c r="T54" s="2"/>
    </row>
  </sheetData>
  <sheetProtection/>
  <mergeCells count="3">
    <mergeCell ref="G8:H8"/>
    <mergeCell ref="I8:J8"/>
    <mergeCell ref="K8:L8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workbookViewId="0" topLeftCell="A1">
      <selection activeCell="A30" sqref="A27:A30"/>
    </sheetView>
  </sheetViews>
  <sheetFormatPr defaultColWidth="11.00390625" defaultRowHeight="15"/>
  <cols>
    <col min="1" max="1" width="13.125" style="0" customWidth="1"/>
    <col min="2" max="2" width="7.375" style="0" customWidth="1"/>
    <col min="3" max="3" width="8.875" style="0" customWidth="1"/>
    <col min="5" max="5" width="8.625" style="0" customWidth="1"/>
    <col min="6" max="6" width="8.875" style="0" customWidth="1"/>
    <col min="7" max="7" width="4.25390625" style="0" customWidth="1"/>
    <col min="8" max="9" width="8.875" style="0" customWidth="1"/>
    <col min="10" max="10" width="4.25390625" style="0" customWidth="1"/>
    <col min="11" max="12" width="8.875" style="0" customWidth="1"/>
    <col min="13" max="13" width="4.25390625" style="0" customWidth="1"/>
    <col min="14" max="15" width="8.875" style="0" customWidth="1"/>
    <col min="16" max="16" width="4.25390625" style="0" customWidth="1"/>
    <col min="17" max="18" width="8.875" style="0" customWidth="1"/>
    <col min="19" max="19" width="4.25390625" style="0" customWidth="1"/>
    <col min="20" max="21" width="8.875" style="0" customWidth="1"/>
    <col min="22" max="22" width="4.25390625" style="0" customWidth="1"/>
    <col min="23" max="23" width="8.875" style="0" customWidth="1"/>
    <col min="24" max="24" width="3.875" style="0" customWidth="1"/>
    <col min="25" max="25" width="19.75390625" style="0" customWidth="1"/>
    <col min="26" max="26" width="16.875" style="0" customWidth="1"/>
    <col min="27" max="27" width="8.875" style="0" customWidth="1"/>
    <col min="28" max="28" width="4.25390625" style="0" customWidth="1"/>
    <col min="29" max="29" width="8.875" style="0" customWidth="1"/>
  </cols>
  <sheetData>
    <row r="1" spans="1:29" ht="15">
      <c r="A1" s="3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1"/>
      <c r="AB1" s="1"/>
      <c r="AC1" s="1"/>
    </row>
    <row r="2" spans="1:2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1"/>
      <c r="AB2" s="1"/>
      <c r="AC2" s="1"/>
    </row>
    <row r="3" spans="1:29" ht="15">
      <c r="A3" s="1"/>
      <c r="B3" s="4"/>
      <c r="C3" s="4"/>
      <c r="D3" s="4" t="s">
        <v>6</v>
      </c>
      <c r="E3" s="4" t="s">
        <v>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6" t="s">
        <v>97</v>
      </c>
      <c r="V3" s="36"/>
      <c r="W3" s="36"/>
      <c r="X3" s="1"/>
      <c r="Y3" s="4" t="s">
        <v>54</v>
      </c>
      <c r="Z3" s="4" t="s">
        <v>27</v>
      </c>
      <c r="AA3" s="36" t="s">
        <v>28</v>
      </c>
      <c r="AB3" s="36"/>
      <c r="AC3" s="36"/>
    </row>
    <row r="4" spans="1:29" ht="15">
      <c r="A4" s="1"/>
      <c r="B4" s="4"/>
      <c r="C4" s="4" t="s">
        <v>16</v>
      </c>
      <c r="D4" s="4" t="s">
        <v>29</v>
      </c>
      <c r="E4" s="4" t="s">
        <v>30</v>
      </c>
      <c r="F4" s="36" t="s">
        <v>41</v>
      </c>
      <c r="G4" s="36"/>
      <c r="H4" s="36"/>
      <c r="I4" s="36" t="s">
        <v>42</v>
      </c>
      <c r="J4" s="36"/>
      <c r="K4" s="36"/>
      <c r="L4" s="36" t="s">
        <v>44</v>
      </c>
      <c r="M4" s="36"/>
      <c r="N4" s="36"/>
      <c r="O4" s="37" t="s">
        <v>47</v>
      </c>
      <c r="P4" s="36"/>
      <c r="Q4" s="36"/>
      <c r="R4" s="37" t="s">
        <v>48</v>
      </c>
      <c r="S4" s="36"/>
      <c r="T4" s="36"/>
      <c r="U4" s="36" t="s">
        <v>31</v>
      </c>
      <c r="V4" s="36"/>
      <c r="W4" s="36"/>
      <c r="X4" s="1"/>
      <c r="Y4" s="4" t="s">
        <v>32</v>
      </c>
      <c r="Z4" s="4" t="s">
        <v>55</v>
      </c>
      <c r="AA4" s="36" t="s">
        <v>55</v>
      </c>
      <c r="AB4" s="36"/>
      <c r="AC4" s="36"/>
    </row>
    <row r="5" spans="1:29" ht="15">
      <c r="A5" s="5" t="s">
        <v>15</v>
      </c>
      <c r="B5" s="6" t="s">
        <v>16</v>
      </c>
      <c r="C5" s="6" t="s">
        <v>17</v>
      </c>
      <c r="D5" s="6" t="s">
        <v>33</v>
      </c>
      <c r="E5" s="6" t="s">
        <v>34</v>
      </c>
      <c r="F5" s="38" t="s">
        <v>35</v>
      </c>
      <c r="G5" s="38"/>
      <c r="H5" s="38"/>
      <c r="I5" s="38" t="s">
        <v>36</v>
      </c>
      <c r="J5" s="38"/>
      <c r="K5" s="38"/>
      <c r="L5" s="38" t="s">
        <v>36</v>
      </c>
      <c r="M5" s="38"/>
      <c r="N5" s="38"/>
      <c r="O5" s="38" t="s">
        <v>37</v>
      </c>
      <c r="P5" s="38"/>
      <c r="Q5" s="38"/>
      <c r="R5" s="38" t="s">
        <v>37</v>
      </c>
      <c r="S5" s="38"/>
      <c r="T5" s="38"/>
      <c r="U5" s="38" t="s">
        <v>38</v>
      </c>
      <c r="V5" s="38"/>
      <c r="W5" s="38"/>
      <c r="X5" s="7"/>
      <c r="Y5" s="6" t="s">
        <v>39</v>
      </c>
      <c r="Z5" s="6" t="s">
        <v>40</v>
      </c>
      <c r="AA5" s="38" t="s">
        <v>38</v>
      </c>
      <c r="AB5" s="38"/>
      <c r="AC5" s="38"/>
    </row>
    <row r="6" spans="1:29" ht="15.75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/>
      <c r="Y6" s="9"/>
      <c r="Z6" s="9"/>
      <c r="AA6" s="9"/>
      <c r="AB6" s="9"/>
      <c r="AC6" s="9"/>
    </row>
    <row r="7" ht="15.75" thickTop="1"/>
    <row r="8" spans="1:29" ht="15">
      <c r="A8" s="1" t="str">
        <f>'All data'!B12</f>
        <v>BCO247</v>
      </c>
      <c r="B8" s="4" t="str">
        <f>'All data'!C12</f>
        <v>b</v>
      </c>
      <c r="C8" s="4">
        <f>'All data'!D12</f>
        <v>0.1689</v>
      </c>
      <c r="D8" s="4">
        <f>'All data'!E12</f>
        <v>850</v>
      </c>
      <c r="E8" s="4">
        <f>'All data'!F12</f>
        <v>0.25</v>
      </c>
      <c r="F8" s="17">
        <f>'All data'!G12</f>
        <v>6.354</v>
      </c>
      <c r="G8" s="11" t="s">
        <v>21</v>
      </c>
      <c r="H8" s="16">
        <f>'All data'!H12</f>
        <v>0.0618</v>
      </c>
      <c r="I8" s="17">
        <f>'All data'!I12</f>
        <v>21.148</v>
      </c>
      <c r="J8" s="11" t="s">
        <v>21</v>
      </c>
      <c r="K8" s="12">
        <f>'All data'!J12</f>
        <v>0.458</v>
      </c>
      <c r="L8" s="17">
        <f>'All data'!K12</f>
        <v>649.203</v>
      </c>
      <c r="M8" s="11" t="s">
        <v>21</v>
      </c>
      <c r="N8" s="16">
        <f>'All data'!L12</f>
        <v>8.965</v>
      </c>
      <c r="O8" s="17">
        <f>'MD corrected'!M12</f>
        <v>3.3282971356625746</v>
      </c>
      <c r="P8" s="11" t="s">
        <v>21</v>
      </c>
      <c r="Q8" s="16">
        <f>'MD corrected'!N12</f>
        <v>0.038</v>
      </c>
      <c r="R8" s="14">
        <f>'MD corrected'!O12</f>
        <v>102.17233238904628</v>
      </c>
      <c r="S8" s="11" t="s">
        <v>21</v>
      </c>
      <c r="T8" s="15">
        <f>'MD corrected'!P12</f>
        <v>0.8</v>
      </c>
      <c r="U8" s="18">
        <f>'MD corrected'!Q12</f>
        <v>13.892918886915336</v>
      </c>
      <c r="V8" s="11" t="s">
        <v>21</v>
      </c>
      <c r="W8" s="20">
        <f>'MD corrected'!R12</f>
        <v>1.48</v>
      </c>
      <c r="X8" s="1"/>
      <c r="Y8" s="13">
        <f>'MD corrected'!S12</f>
        <v>11.095678078305278</v>
      </c>
      <c r="Z8" s="13">
        <f>'MD corrected'!T12</f>
        <v>92.53819657401307</v>
      </c>
      <c r="AA8" s="14">
        <f>'MD corrected'!U12</f>
        <v>15.013172291296627</v>
      </c>
      <c r="AB8" s="11" t="s">
        <v>21</v>
      </c>
      <c r="AC8" s="15">
        <f>'MD corrected'!V12</f>
        <v>1.5686937240902061</v>
      </c>
    </row>
    <row r="9" spans="1:29" ht="15">
      <c r="A9" s="1"/>
      <c r="B9" s="4"/>
      <c r="C9" s="4"/>
      <c r="D9" s="4">
        <f>'All data'!E13</f>
        <v>1200</v>
      </c>
      <c r="E9" s="4">
        <f>'All data'!F13</f>
        <v>0.25</v>
      </c>
      <c r="F9" s="17">
        <f>'All data'!G13</f>
        <v>0.2588</v>
      </c>
      <c r="G9" s="11" t="s">
        <v>21</v>
      </c>
      <c r="H9" s="16">
        <f>'All data'!H13</f>
        <v>0.0147</v>
      </c>
      <c r="I9" s="17">
        <f>'All data'!I13</f>
        <v>0.955</v>
      </c>
      <c r="J9" s="11" t="s">
        <v>21</v>
      </c>
      <c r="K9" s="12">
        <f>'All data'!J13</f>
        <v>0.077</v>
      </c>
      <c r="L9" s="17">
        <f>'All data'!K13</f>
        <v>28.218</v>
      </c>
      <c r="M9" s="11" t="s">
        <v>21</v>
      </c>
      <c r="N9" s="16">
        <f>'All data'!L13</f>
        <v>3.265</v>
      </c>
      <c r="O9" s="17">
        <f>'MD corrected'!M13</f>
        <v>3.690108191653787</v>
      </c>
      <c r="P9" s="11" t="s">
        <v>21</v>
      </c>
      <c r="Q9" s="16">
        <f>'MD corrected'!N13</f>
        <v>0.348</v>
      </c>
      <c r="R9" s="14">
        <f>'MD corrected'!O13</f>
        <v>109.03400309119012</v>
      </c>
      <c r="S9" s="11" t="s">
        <v>21</v>
      </c>
      <c r="T9" s="15">
        <f>'MD corrected'!P13</f>
        <v>13.7</v>
      </c>
      <c r="U9" s="18">
        <f>'MD corrected'!Q13</f>
        <v>1.1202534043812917</v>
      </c>
      <c r="V9" s="11" t="s">
        <v>21</v>
      </c>
      <c r="W9" s="20">
        <f>'MD corrected'!R13</f>
        <v>0.52</v>
      </c>
      <c r="X9" s="1"/>
      <c r="Y9" s="13">
        <f>'MD corrected'!S13</f>
        <v>19.812649214659704</v>
      </c>
      <c r="Z9" s="13">
        <f>'MD corrected'!T13</f>
        <v>7.461803425986926</v>
      </c>
      <c r="AA9" s="14"/>
      <c r="AB9" s="11"/>
      <c r="AC9" s="15"/>
    </row>
    <row r="10" spans="1:29" ht="15">
      <c r="A10" s="1"/>
      <c r="B10" s="4"/>
      <c r="C10" s="4"/>
      <c r="D10" s="4"/>
      <c r="E10" s="4"/>
      <c r="F10" s="17"/>
      <c r="G10" s="11"/>
      <c r="H10" s="16"/>
      <c r="I10" s="17"/>
      <c r="J10" s="11"/>
      <c r="K10" s="12"/>
      <c r="L10" s="17"/>
      <c r="M10" s="11"/>
      <c r="N10" s="16"/>
      <c r="O10" s="17"/>
      <c r="P10" s="11"/>
      <c r="Q10" s="16"/>
      <c r="R10" s="14"/>
      <c r="S10" s="11"/>
      <c r="T10" s="15"/>
      <c r="U10" s="21"/>
      <c r="V10" s="11"/>
      <c r="W10" s="20"/>
      <c r="X10" s="1"/>
      <c r="Y10" s="13"/>
      <c r="Z10" s="13"/>
      <c r="AA10" s="14"/>
      <c r="AB10" s="11"/>
      <c r="AC10" s="15"/>
    </row>
    <row r="11" spans="1:29" ht="15">
      <c r="A11" s="1"/>
      <c r="B11" s="4" t="str">
        <f>'All data'!C21</f>
        <v>c</v>
      </c>
      <c r="C11" s="4">
        <f>'All data'!D21</f>
        <v>0.1234</v>
      </c>
      <c r="D11" s="4">
        <f>'All data'!E21</f>
        <v>850</v>
      </c>
      <c r="E11" s="4">
        <f>'All data'!F21</f>
        <v>0.25</v>
      </c>
      <c r="F11" s="17">
        <f>'All data'!G21</f>
        <v>4.1607</v>
      </c>
      <c r="G11" s="11" t="s">
        <v>21</v>
      </c>
      <c r="H11" s="16">
        <f>'All data'!H21</f>
        <v>0.0624</v>
      </c>
      <c r="I11" s="17">
        <f>'All data'!I21</f>
        <v>14.846</v>
      </c>
      <c r="J11" s="11" t="s">
        <v>21</v>
      </c>
      <c r="K11" s="12">
        <f>'All data'!J21</f>
        <v>0.328</v>
      </c>
      <c r="L11" s="17">
        <f>'All data'!K21</f>
        <v>422.354</v>
      </c>
      <c r="M11" s="11" t="s">
        <v>21</v>
      </c>
      <c r="N11" s="16">
        <f>'All data'!L21</f>
        <v>6.363</v>
      </c>
      <c r="O11" s="17">
        <f>'MD corrected'!M21</f>
        <v>3.568149590213185</v>
      </c>
      <c r="P11" s="11" t="s">
        <v>21</v>
      </c>
      <c r="Q11" s="16">
        <f>'MD corrected'!N21</f>
        <v>0.067</v>
      </c>
      <c r="R11" s="14">
        <f>'MD corrected'!O21</f>
        <v>101.51032278222414</v>
      </c>
      <c r="S11" s="11" t="s">
        <v>21</v>
      </c>
      <c r="T11" s="15">
        <f>'MD corrected'!P21</f>
        <v>0.8</v>
      </c>
      <c r="U11" s="18">
        <f>'MD corrected'!Q21</f>
        <v>20.53880632090761</v>
      </c>
      <c r="V11" s="11" t="s">
        <v>21</v>
      </c>
      <c r="W11" s="20">
        <f>'MD corrected'!R21</f>
        <v>2.29</v>
      </c>
      <c r="X11" s="1"/>
      <c r="Y11" s="13">
        <f>'MD corrected'!S21</f>
        <v>17.0718624545332</v>
      </c>
      <c r="Z11" s="13">
        <f>'MD corrected'!T21</f>
        <v>94.11896623529698</v>
      </c>
      <c r="AA11" s="14">
        <f>'MD corrected'!U21</f>
        <v>21.822175850891405</v>
      </c>
      <c r="AB11" s="11" t="s">
        <v>21</v>
      </c>
      <c r="AC11" s="15">
        <f>'MD corrected'!V21</f>
        <v>2.3832121181296473</v>
      </c>
    </row>
    <row r="12" spans="1:29" ht="15">
      <c r="A12" s="1"/>
      <c r="B12" s="4"/>
      <c r="C12" s="4"/>
      <c r="D12" s="4">
        <f>'All data'!E22</f>
        <v>1200</v>
      </c>
      <c r="E12" s="4">
        <f>'All data'!F22</f>
        <v>0.25</v>
      </c>
      <c r="F12" s="17">
        <f>'All data'!G22</f>
        <v>0.3358</v>
      </c>
      <c r="G12" s="11" t="s">
        <v>21</v>
      </c>
      <c r="H12" s="16">
        <f>'All data'!H22</f>
        <v>0.01</v>
      </c>
      <c r="I12" s="17">
        <f>'All data'!I22</f>
        <v>1.152</v>
      </c>
      <c r="J12" s="11" t="s">
        <v>21</v>
      </c>
      <c r="K12" s="12">
        <f>'All data'!J22</f>
        <v>0.079</v>
      </c>
      <c r="L12" s="17">
        <f>'All data'!K22</f>
        <v>33.21</v>
      </c>
      <c r="M12" s="11" t="s">
        <v>21</v>
      </c>
      <c r="N12" s="16">
        <f>'All data'!L22</f>
        <v>1.675</v>
      </c>
      <c r="O12" s="17">
        <f>'MD corrected'!M22</f>
        <v>3.4306134603930913</v>
      </c>
      <c r="P12" s="11" t="s">
        <v>21</v>
      </c>
      <c r="Q12" s="16">
        <f>'MD corrected'!N22</f>
        <v>0.242</v>
      </c>
      <c r="R12" s="14">
        <f>'MD corrected'!O22</f>
        <v>98.89815366289459</v>
      </c>
      <c r="S12" s="11" t="s">
        <v>21</v>
      </c>
      <c r="T12" s="15">
        <f>'MD corrected'!P22</f>
        <v>5.3</v>
      </c>
      <c r="U12" s="18">
        <f>'MD corrected'!Q22</f>
        <v>1.2833695299837928</v>
      </c>
      <c r="V12" s="11" t="s">
        <v>21</v>
      </c>
      <c r="W12" s="20">
        <f>'MD corrected'!R22</f>
        <v>0.66</v>
      </c>
      <c r="X12" s="1"/>
      <c r="Y12" s="13">
        <f>'MD corrected'!S22</f>
        <v>13.747204861111115</v>
      </c>
      <c r="Z12" s="13">
        <f>'MD corrected'!T22</f>
        <v>5.881033764703023</v>
      </c>
      <c r="AA12" s="14"/>
      <c r="AB12" s="11"/>
      <c r="AC12" s="15"/>
    </row>
    <row r="14" spans="1:29" ht="15">
      <c r="A14" s="1" t="str">
        <f>'All data'!B15</f>
        <v>BCO447</v>
      </c>
      <c r="B14" s="4" t="str">
        <f>'All data'!C15</f>
        <v>b</v>
      </c>
      <c r="C14" s="4">
        <f>'All data'!D15</f>
        <v>0.1447</v>
      </c>
      <c r="D14" s="4">
        <f>'All data'!E15</f>
        <v>850</v>
      </c>
      <c r="E14" s="4">
        <f>'All data'!F15</f>
        <v>0.25</v>
      </c>
      <c r="F14" s="17">
        <f>'All data'!G15</f>
        <v>4.1501</v>
      </c>
      <c r="G14" s="11" t="s">
        <v>21</v>
      </c>
      <c r="H14" s="16">
        <f>'All data'!H15</f>
        <v>0.0418</v>
      </c>
      <c r="I14" s="17">
        <f>'All data'!I15</f>
        <v>12.92</v>
      </c>
      <c r="J14" s="11" t="s">
        <v>21</v>
      </c>
      <c r="K14" s="12">
        <f>'All data'!J15</f>
        <v>0.31</v>
      </c>
      <c r="L14" s="17">
        <f>'All data'!K15</f>
        <v>427.294</v>
      </c>
      <c r="M14" s="11" t="s">
        <v>21</v>
      </c>
      <c r="N14" s="16">
        <f>'All data'!L15</f>
        <v>6.166</v>
      </c>
      <c r="O14" s="17">
        <f>'MD corrected'!M15</f>
        <v>3.113177995710947</v>
      </c>
      <c r="P14" s="11" t="s">
        <v>21</v>
      </c>
      <c r="Q14" s="16">
        <f>'MD corrected'!N15</f>
        <v>0.048</v>
      </c>
      <c r="R14" s="14">
        <f>'MD corrected'!O15</f>
        <v>102.95992867641743</v>
      </c>
      <c r="S14" s="11" t="s">
        <v>21</v>
      </c>
      <c r="T14" s="15">
        <f>'MD corrected'!P15</f>
        <v>0.9</v>
      </c>
      <c r="U14" s="18">
        <f>'MD corrected'!Q15</f>
        <v>4.421935729094689</v>
      </c>
      <c r="V14" s="11" t="s">
        <v>21</v>
      </c>
      <c r="W14" s="20">
        <f>'MD corrected'!R15</f>
        <v>1.42</v>
      </c>
      <c r="X14" s="1"/>
      <c r="Y14" s="13">
        <f>'MD corrected'!S15</f>
        <v>4.9524311145510955</v>
      </c>
      <c r="Z14" s="13">
        <f>'MD corrected'!T15</f>
        <v>70.82985468377336</v>
      </c>
      <c r="AA14" s="14">
        <f>'MD corrected'!U15</f>
        <v>6.243039391845208</v>
      </c>
      <c r="AB14" s="11" t="s">
        <v>21</v>
      </c>
      <c r="AC14" s="15">
        <f>'MD corrected'!V15</f>
        <v>1.5338839591051208</v>
      </c>
    </row>
    <row r="15" spans="1:29" ht="15">
      <c r="A15" s="1"/>
      <c r="B15" s="4"/>
      <c r="C15" s="4"/>
      <c r="D15" s="4">
        <f>'All data'!E16</f>
        <v>1200</v>
      </c>
      <c r="E15" s="4">
        <f>'All data'!F16</f>
        <v>0.25</v>
      </c>
      <c r="F15" s="17">
        <f>'All data'!G16</f>
        <v>0.1857</v>
      </c>
      <c r="G15" s="11" t="s">
        <v>21</v>
      </c>
      <c r="H15" s="16">
        <f>'All data'!H16</f>
        <v>0.0146</v>
      </c>
      <c r="I15" s="17">
        <f>'All data'!I16</f>
        <v>0.813</v>
      </c>
      <c r="J15" s="11" t="s">
        <v>21</v>
      </c>
      <c r="K15" s="12">
        <f>'All data'!J16</f>
        <v>0.072</v>
      </c>
      <c r="L15" s="17">
        <f>'All data'!K16</f>
        <v>18.942</v>
      </c>
      <c r="M15" s="11" t="s">
        <v>21</v>
      </c>
      <c r="N15" s="16">
        <f>'All data'!L16</f>
        <v>3.278</v>
      </c>
      <c r="O15" s="17">
        <f>'MD corrected'!M16</f>
        <v>4.378029079159935</v>
      </c>
      <c r="P15" s="11" t="s">
        <v>21</v>
      </c>
      <c r="Q15" s="16">
        <f>'MD corrected'!N16</f>
        <v>0.5</v>
      </c>
      <c r="R15" s="14">
        <f>'MD corrected'!O16</f>
        <v>102.0032310177706</v>
      </c>
      <c r="S15" s="11" t="s">
        <v>21</v>
      </c>
      <c r="T15" s="15">
        <f>'MD corrected'!P16</f>
        <v>19</v>
      </c>
      <c r="U15" s="18">
        <f>'MD corrected'!Q16</f>
        <v>1.8211036627505188</v>
      </c>
      <c r="V15" s="11" t="s">
        <v>21</v>
      </c>
      <c r="W15" s="20">
        <f>'MD corrected'!R16</f>
        <v>0.58</v>
      </c>
      <c r="X15" s="1"/>
      <c r="Y15" s="13">
        <f>'MD corrected'!S16</f>
        <v>32.41250922509226</v>
      </c>
      <c r="Z15" s="13">
        <f>'MD corrected'!T16</f>
        <v>29.170145316226638</v>
      </c>
      <c r="AA15" s="14"/>
      <c r="AB15" s="11"/>
      <c r="AC15" s="15"/>
    </row>
    <row r="16" spans="2:29" ht="15">
      <c r="B16" s="4"/>
      <c r="C16" s="4"/>
      <c r="D16" s="4"/>
      <c r="E16" s="4"/>
      <c r="F16" s="17"/>
      <c r="G16" s="11"/>
      <c r="H16" s="16"/>
      <c r="I16" s="17"/>
      <c r="J16" s="11"/>
      <c r="K16" s="12"/>
      <c r="L16" s="17"/>
      <c r="M16" s="11"/>
      <c r="N16" s="16"/>
      <c r="O16" s="17"/>
      <c r="P16" s="11"/>
      <c r="Q16" s="16"/>
      <c r="R16" s="14"/>
      <c r="S16" s="11"/>
      <c r="T16" s="15"/>
      <c r="U16" s="18"/>
      <c r="V16" s="11"/>
      <c r="W16" s="20"/>
      <c r="X16" s="1"/>
      <c r="Y16" s="13"/>
      <c r="Z16" s="13"/>
      <c r="AA16" s="14"/>
      <c r="AB16" s="11"/>
      <c r="AC16" s="15"/>
    </row>
    <row r="17" spans="1:29" ht="15">
      <c r="A17" s="1"/>
      <c r="B17" s="4" t="str">
        <f>'All data'!C24</f>
        <v>c</v>
      </c>
      <c r="C17" s="4">
        <f>'All data'!D24</f>
        <v>0.1535</v>
      </c>
      <c r="D17" s="4">
        <f>'All data'!E24</f>
        <v>850</v>
      </c>
      <c r="E17" s="4">
        <f>'All data'!F24</f>
        <v>0.25</v>
      </c>
      <c r="F17" s="17">
        <f>'All data'!G24</f>
        <v>3.97</v>
      </c>
      <c r="G17" s="11" t="s">
        <v>21</v>
      </c>
      <c r="H17" s="16">
        <f>'All data'!H24</f>
        <v>0.0579</v>
      </c>
      <c r="I17" s="17">
        <f>'All data'!I24</f>
        <v>12.737</v>
      </c>
      <c r="J17" s="11" t="s">
        <v>21</v>
      </c>
      <c r="K17" s="12">
        <f>'All data'!J24</f>
        <v>0.262</v>
      </c>
      <c r="L17" s="17">
        <f>'All data'!K24</f>
        <v>404.596</v>
      </c>
      <c r="M17" s="11" t="s">
        <v>21</v>
      </c>
      <c r="N17" s="16">
        <f>'All data'!L24</f>
        <v>6.094</v>
      </c>
      <c r="O17" s="17">
        <f>'MD corrected'!M24</f>
        <v>3.2083123425692697</v>
      </c>
      <c r="P17" s="11" t="s">
        <v>21</v>
      </c>
      <c r="Q17" s="16">
        <f>'MD corrected'!N24</f>
        <v>0.053</v>
      </c>
      <c r="R17" s="14">
        <f>'MD corrected'!O24</f>
        <v>101.91335012594459</v>
      </c>
      <c r="S17" s="11" t="s">
        <v>21</v>
      </c>
      <c r="T17" s="15">
        <f>'MD corrected'!P24</f>
        <v>0.7</v>
      </c>
      <c r="U17" s="18">
        <f>'MD corrected'!Q24</f>
        <v>6.448013029315961</v>
      </c>
      <c r="V17" s="11" t="s">
        <v>21</v>
      </c>
      <c r="W17" s="20">
        <f>'MD corrected'!R24</f>
        <v>1.41</v>
      </c>
      <c r="X17" s="1"/>
      <c r="Y17" s="13">
        <f>'MD corrected'!S24</f>
        <v>7.770825155060061</v>
      </c>
      <c r="Z17" s="13">
        <f>'MD corrected'!T24</f>
        <v>96.82439046866166</v>
      </c>
      <c r="AA17" s="14">
        <f>'MD corrected'!U24</f>
        <v>6.659492508143323</v>
      </c>
      <c r="AB17" s="11" t="s">
        <v>21</v>
      </c>
      <c r="AC17" s="15">
        <f>'MD corrected'!V24</f>
        <v>1.477057886475679</v>
      </c>
    </row>
    <row r="18" spans="1:29" ht="15">
      <c r="A18" s="1"/>
      <c r="B18" s="4"/>
      <c r="C18" s="4"/>
      <c r="D18" s="4">
        <f>'All data'!E25</f>
        <v>1200</v>
      </c>
      <c r="E18" s="4">
        <f>'All data'!F25</f>
        <v>0.25</v>
      </c>
      <c r="F18" s="17">
        <f>'All data'!G25</f>
        <v>0.2381</v>
      </c>
      <c r="G18" s="11" t="s">
        <v>21</v>
      </c>
      <c r="H18" s="16">
        <f>'All data'!H25</f>
        <v>0.0075</v>
      </c>
      <c r="I18" s="17">
        <f>'All data'!I25</f>
        <v>0.737</v>
      </c>
      <c r="J18" s="11" t="s">
        <v>21</v>
      </c>
      <c r="K18" s="12">
        <f>'All data'!J25</f>
        <v>0.066</v>
      </c>
      <c r="L18" s="17">
        <f>'All data'!K25</f>
        <v>25.61</v>
      </c>
      <c r="M18" s="11" t="s">
        <v>21</v>
      </c>
      <c r="N18" s="16">
        <f>'All data'!L25</f>
        <v>1.6</v>
      </c>
      <c r="O18" s="17">
        <f>'MD corrected'!M25</f>
        <v>3.0953380932381354</v>
      </c>
      <c r="P18" s="11" t="s">
        <v>21</v>
      </c>
      <c r="Q18" s="16">
        <f>'MD corrected'!N25</f>
        <v>0.281</v>
      </c>
      <c r="R18" s="14">
        <f>'MD corrected'!O25</f>
        <v>107.55984880302394</v>
      </c>
      <c r="S18" s="11" t="s">
        <v>21</v>
      </c>
      <c r="T18" s="15">
        <f>'MD corrected'!P25</f>
        <v>7</v>
      </c>
      <c r="U18" s="18">
        <f>'MD corrected'!Q25</f>
        <v>0.21147947882736218</v>
      </c>
      <c r="V18" s="11" t="s">
        <v>21</v>
      </c>
      <c r="W18" s="20">
        <f>'MD corrected'!R25</f>
        <v>0.44</v>
      </c>
      <c r="X18" s="1"/>
      <c r="Y18" s="13">
        <f>'MD corrected'!S25</f>
        <v>4.404626865671654</v>
      </c>
      <c r="Z18" s="13">
        <f>'MD corrected'!T25</f>
        <v>3.1756095313383423</v>
      </c>
      <c r="AA18" s="14"/>
      <c r="AB18" s="11"/>
      <c r="AC18" s="15"/>
    </row>
    <row r="19" spans="2:29" ht="15">
      <c r="B19" s="4"/>
      <c r="C19" s="4"/>
      <c r="D19" s="4"/>
      <c r="E19" s="4"/>
      <c r="F19" s="17"/>
      <c r="G19" s="11"/>
      <c r="H19" s="16"/>
      <c r="I19" s="17"/>
      <c r="J19" s="11"/>
      <c r="K19" s="12"/>
      <c r="L19" s="17"/>
      <c r="M19" s="11"/>
      <c r="N19" s="16"/>
      <c r="O19" s="17"/>
      <c r="P19" s="11"/>
      <c r="Q19" s="16"/>
      <c r="R19" s="14"/>
      <c r="S19" s="11"/>
      <c r="T19" s="15"/>
      <c r="U19" s="18"/>
      <c r="V19" s="11"/>
      <c r="W19" s="20"/>
      <c r="X19" s="1"/>
      <c r="Y19" s="13"/>
      <c r="Z19" s="13"/>
      <c r="AA19" s="14"/>
      <c r="AB19" s="11"/>
      <c r="AC19" s="15"/>
    </row>
    <row r="20" spans="1:29" ht="15">
      <c r="A20" s="1" t="str">
        <f>'All data'!B18</f>
        <v>BCO613</v>
      </c>
      <c r="B20" s="4" t="str">
        <f>'All data'!C18</f>
        <v>b</v>
      </c>
      <c r="C20" s="4">
        <f>'All data'!D18</f>
        <v>0.1604</v>
      </c>
      <c r="D20" s="4">
        <f>'All data'!E18</f>
        <v>850</v>
      </c>
      <c r="E20" s="4">
        <f>'All data'!F18</f>
        <v>0.25</v>
      </c>
      <c r="F20" s="17">
        <f>'All data'!G18</f>
        <v>5.9899</v>
      </c>
      <c r="G20" s="11" t="s">
        <v>21</v>
      </c>
      <c r="H20" s="16">
        <f>'All data'!H18</f>
        <v>0.058</v>
      </c>
      <c r="I20" s="17">
        <f>'All data'!I18</f>
        <v>18.886</v>
      </c>
      <c r="J20" s="11" t="s">
        <v>21</v>
      </c>
      <c r="K20" s="12">
        <f>'All data'!J18</f>
        <v>0.438</v>
      </c>
      <c r="L20" s="17">
        <f>'All data'!K18</f>
        <v>608.369</v>
      </c>
      <c r="M20" s="11" t="s">
        <v>21</v>
      </c>
      <c r="N20" s="16">
        <f>'All data'!L18</f>
        <v>8.457</v>
      </c>
      <c r="O20" s="17">
        <f>'MD corrected'!M18</f>
        <v>3.1529741731915393</v>
      </c>
      <c r="P20" s="11" t="s">
        <v>21</v>
      </c>
      <c r="Q20" s="16">
        <f>'MD corrected'!N18</f>
        <v>0.044</v>
      </c>
      <c r="R20" s="14">
        <f>'MD corrected'!O18</f>
        <v>101.56580243409739</v>
      </c>
      <c r="S20" s="11" t="s">
        <v>21</v>
      </c>
      <c r="T20" s="15">
        <f>'MD corrected'!P18</f>
        <v>0.8</v>
      </c>
      <c r="U20" s="18">
        <f>'MD corrected'!Q18</f>
        <v>7.24367768079802</v>
      </c>
      <c r="V20" s="11" t="s">
        <v>21</v>
      </c>
      <c r="W20" s="20">
        <f>'MD corrected'!R18</f>
        <v>1.7</v>
      </c>
      <c r="X20" s="1"/>
      <c r="Y20" s="13">
        <f>'MD corrected'!S18</f>
        <v>6.1521015567086845</v>
      </c>
      <c r="Z20" s="13">
        <f>'MD corrected'!T18</f>
        <v>86.05137593887237</v>
      </c>
      <c r="AA20" s="14">
        <f>'MD corrected'!U18</f>
        <v>8.417852244389042</v>
      </c>
      <c r="AB20" s="11" t="s">
        <v>21</v>
      </c>
      <c r="AC20" s="15">
        <f>'MD corrected'!V18</f>
        <v>1.8027756377319946</v>
      </c>
    </row>
    <row r="21" spans="1:29" ht="15">
      <c r="A21" s="1"/>
      <c r="B21" s="4"/>
      <c r="C21" s="4"/>
      <c r="D21" s="4">
        <f>'All data'!E19</f>
        <v>1200</v>
      </c>
      <c r="E21" s="4">
        <f>'All data'!F19</f>
        <v>0.25</v>
      </c>
      <c r="F21" s="17">
        <f>'All data'!G19</f>
        <v>0.3936</v>
      </c>
      <c r="G21" s="11" t="s">
        <v>21</v>
      </c>
      <c r="H21" s="16">
        <f>'All data'!H19</f>
        <v>0.016</v>
      </c>
      <c r="I21" s="17">
        <f>'All data'!I19</f>
        <v>1.353</v>
      </c>
      <c r="J21" s="11" t="s">
        <v>21</v>
      </c>
      <c r="K21" s="12">
        <f>'All data'!J19</f>
        <v>0.088</v>
      </c>
      <c r="L21" s="17">
        <f>'All data'!K19</f>
        <v>38.087</v>
      </c>
      <c r="M21" s="11" t="s">
        <v>21</v>
      </c>
      <c r="N21" s="16">
        <f>'All data'!L19</f>
        <v>3.281</v>
      </c>
      <c r="O21" s="17">
        <f>'MD corrected'!M19</f>
        <v>3.4375</v>
      </c>
      <c r="P21" s="11" t="s">
        <v>21</v>
      </c>
      <c r="Q21" s="16">
        <f>'MD corrected'!N19</f>
        <v>0.248</v>
      </c>
      <c r="R21" s="14">
        <f>'MD corrected'!O19</f>
        <v>96.76575203252033</v>
      </c>
      <c r="S21" s="11" t="s">
        <v>21</v>
      </c>
      <c r="T21" s="15">
        <f>'MD corrected'!P19</f>
        <v>9</v>
      </c>
      <c r="U21" s="18">
        <f>'MD corrected'!Q19</f>
        <v>1.1741745635910232</v>
      </c>
      <c r="V21" s="11" t="s">
        <v>21</v>
      </c>
      <c r="W21" s="20">
        <f>'MD corrected'!R19</f>
        <v>0.6</v>
      </c>
      <c r="X21" s="1"/>
      <c r="Y21" s="13">
        <f>'MD corrected'!S19</f>
        <v>13.920000000000007</v>
      </c>
      <c r="Z21" s="13">
        <f>'MD corrected'!T19</f>
        <v>13.948624061127642</v>
      </c>
      <c r="AA21" s="14"/>
      <c r="AB21" s="11"/>
      <c r="AC21" s="15"/>
    </row>
    <row r="23" spans="1:29" ht="15">
      <c r="A23" s="1"/>
      <c r="B23" s="4" t="str">
        <f>'All data'!C27</f>
        <v>c</v>
      </c>
      <c r="C23" s="4">
        <f>'All data'!D27</f>
        <v>0.1645</v>
      </c>
      <c r="D23" s="4">
        <f>'All data'!E27</f>
        <v>850</v>
      </c>
      <c r="E23" s="4">
        <f>'All data'!F27</f>
        <v>0.25</v>
      </c>
      <c r="F23" s="17">
        <f>'All data'!G27</f>
        <v>6.1668</v>
      </c>
      <c r="G23" s="11" t="s">
        <v>21</v>
      </c>
      <c r="H23" s="16">
        <f>'All data'!H27</f>
        <v>0.0907</v>
      </c>
      <c r="I23" s="17">
        <f>'All data'!I27</f>
        <v>19.896</v>
      </c>
      <c r="J23" s="11" t="s">
        <v>21</v>
      </c>
      <c r="K23" s="12">
        <f>'All data'!J27</f>
        <v>0.378</v>
      </c>
      <c r="L23" s="17">
        <f>'All data'!K27</f>
        <v>620.837</v>
      </c>
      <c r="M23" s="11" t="s">
        <v>21</v>
      </c>
      <c r="N23" s="16">
        <f>'All data'!L27</f>
        <v>9.098</v>
      </c>
      <c r="O23" s="17">
        <f>'MD corrected'!M27</f>
        <v>3.2263086203541547</v>
      </c>
      <c r="P23" s="11" t="s">
        <v>21</v>
      </c>
      <c r="Q23" s="16">
        <f>'MD corrected'!N27</f>
        <v>0.048</v>
      </c>
      <c r="R23" s="14">
        <f>'MD corrected'!O27</f>
        <v>100.6740935331128</v>
      </c>
      <c r="S23" s="11" t="s">
        <v>21</v>
      </c>
      <c r="T23" s="15">
        <f>'MD corrected'!P27</f>
        <v>0.6</v>
      </c>
      <c r="U23" s="18">
        <f>'MD corrected'!Q27</f>
        <v>10.020904559270521</v>
      </c>
      <c r="V23" s="11" t="s">
        <v>21</v>
      </c>
      <c r="W23" s="20">
        <f>'MD corrected'!R27</f>
        <v>1.83</v>
      </c>
      <c r="X23" s="1"/>
      <c r="Y23" s="13">
        <f>'MD corrected'!S27</f>
        <v>8.285277442702053</v>
      </c>
      <c r="Z23" s="13">
        <f>'MD corrected'!T27</f>
        <v>85.18180052332556</v>
      </c>
      <c r="AA23" s="14">
        <f>'MD corrected'!U27</f>
        <v>11.764137993920977</v>
      </c>
      <c r="AB23" s="11" t="s">
        <v>21</v>
      </c>
      <c r="AC23" s="15">
        <f>'MD corrected'!V27</f>
        <v>1.9167159413955945</v>
      </c>
    </row>
    <row r="24" spans="1:29" ht="15">
      <c r="A24" s="1"/>
      <c r="B24" s="4"/>
      <c r="C24" s="4"/>
      <c r="D24" s="4">
        <f>'All data'!E28</f>
        <v>1200</v>
      </c>
      <c r="E24" s="4">
        <f>'All data'!F28</f>
        <v>0.25</v>
      </c>
      <c r="F24" s="17">
        <f>'All data'!G28</f>
        <v>0.4259</v>
      </c>
      <c r="G24" s="11" t="s">
        <v>21</v>
      </c>
      <c r="H24" s="16">
        <f>'All data'!H28</f>
        <v>0.01</v>
      </c>
      <c r="I24" s="17">
        <f>'All data'!I28</f>
        <v>1.547</v>
      </c>
      <c r="J24" s="11" t="s">
        <v>21</v>
      </c>
      <c r="K24" s="12">
        <f>'All data'!J28</f>
        <v>0.093</v>
      </c>
      <c r="L24" s="17">
        <f>'All data'!K28</f>
        <v>46.974</v>
      </c>
      <c r="M24" s="11" t="s">
        <v>21</v>
      </c>
      <c r="N24" s="16">
        <f>'All data'!L28</f>
        <v>1.883</v>
      </c>
      <c r="O24" s="17">
        <f>'MD corrected'!M28</f>
        <v>3.6323080535336936</v>
      </c>
      <c r="P24" s="11" t="s">
        <v>21</v>
      </c>
      <c r="Q24" s="16">
        <f>'MD corrected'!N28</f>
        <v>0.218</v>
      </c>
      <c r="R24" s="14">
        <f>'MD corrected'!O28</f>
        <v>110.29349612585114</v>
      </c>
      <c r="S24" s="11" t="s">
        <v>21</v>
      </c>
      <c r="T24" s="15">
        <f>'MD corrected'!P28</f>
        <v>4.4</v>
      </c>
      <c r="U24" s="18">
        <f>'MD corrected'!Q28</f>
        <v>1.7432334346504568</v>
      </c>
      <c r="V24" s="11" t="s">
        <v>21</v>
      </c>
      <c r="W24" s="20">
        <f>'MD corrected'!R28</f>
        <v>0.57</v>
      </c>
      <c r="X24" s="1"/>
      <c r="Y24" s="13">
        <f>'MD corrected'!S28</f>
        <v>18.536645119586307</v>
      </c>
      <c r="Z24" s="13">
        <f>'All data'!T28</f>
        <v>17.699115044247787</v>
      </c>
      <c r="AA24" s="14"/>
      <c r="AB24" s="11"/>
      <c r="AC24" s="15"/>
    </row>
    <row r="25" spans="1:29" ht="15.75" thickBot="1">
      <c r="A25" s="8"/>
      <c r="B25" s="9"/>
      <c r="C25" s="9"/>
      <c r="D25" s="9"/>
      <c r="E25" s="9"/>
      <c r="F25" s="24"/>
      <c r="G25" s="25"/>
      <c r="H25" s="26"/>
      <c r="I25" s="24"/>
      <c r="J25" s="25"/>
      <c r="K25" s="27"/>
      <c r="L25" s="24"/>
      <c r="M25" s="25"/>
      <c r="N25" s="26"/>
      <c r="O25" s="24"/>
      <c r="P25" s="25"/>
      <c r="Q25" s="26"/>
      <c r="R25" s="28"/>
      <c r="S25" s="25"/>
      <c r="T25" s="29"/>
      <c r="U25" s="30"/>
      <c r="V25" s="25"/>
      <c r="W25" s="31"/>
      <c r="X25" s="8"/>
      <c r="Y25" s="32"/>
      <c r="Z25" s="32"/>
      <c r="AA25" s="28"/>
      <c r="AB25" s="25"/>
      <c r="AC25" s="29"/>
    </row>
    <row r="26" spans="1:29" ht="15.75" thickTop="1">
      <c r="A26" s="1"/>
      <c r="B26" s="4"/>
      <c r="C26" s="4"/>
      <c r="D26" s="4"/>
      <c r="E26" s="4"/>
      <c r="F26" s="17"/>
      <c r="G26" s="11"/>
      <c r="H26" s="16"/>
      <c r="I26" s="17"/>
      <c r="J26" s="11"/>
      <c r="K26" s="12"/>
      <c r="L26" s="17"/>
      <c r="M26" s="11"/>
      <c r="N26" s="16"/>
      <c r="O26" s="17"/>
      <c r="P26" s="11"/>
      <c r="Q26" s="16"/>
      <c r="R26" s="14"/>
      <c r="S26" s="11"/>
      <c r="T26" s="15"/>
      <c r="U26" s="21"/>
      <c r="V26" s="11"/>
      <c r="W26" s="20"/>
      <c r="X26" s="1"/>
      <c r="Y26" s="13"/>
      <c r="Z26" s="13"/>
      <c r="AA26" s="14"/>
      <c r="AB26" s="11"/>
      <c r="AC26" s="15"/>
    </row>
    <row r="27" spans="1:29" ht="15">
      <c r="A27" s="22" t="s">
        <v>52</v>
      </c>
      <c r="C27" s="4"/>
      <c r="D27" s="4"/>
      <c r="E27" s="4"/>
      <c r="F27" s="17"/>
      <c r="G27" s="11"/>
      <c r="H27" s="16"/>
      <c r="I27" s="17"/>
      <c r="J27" s="11"/>
      <c r="K27" s="12"/>
      <c r="L27" s="17"/>
      <c r="M27" s="11"/>
      <c r="N27" s="16"/>
      <c r="O27" s="17"/>
      <c r="P27" s="11"/>
      <c r="Q27" s="16"/>
      <c r="R27" s="14"/>
      <c r="S27" s="11"/>
      <c r="T27" s="15"/>
      <c r="U27" s="18"/>
      <c r="V27" s="11"/>
      <c r="W27" s="20"/>
      <c r="X27" s="1"/>
      <c r="Y27" s="13"/>
      <c r="Z27" s="13"/>
      <c r="AA27" s="14"/>
      <c r="AB27" s="11"/>
      <c r="AC27" s="15"/>
    </row>
    <row r="28" spans="1:29" ht="15">
      <c r="A28" s="22" t="s">
        <v>53</v>
      </c>
      <c r="C28" s="4"/>
      <c r="D28" s="4"/>
      <c r="E28" s="4"/>
      <c r="F28" s="17"/>
      <c r="G28" s="11"/>
      <c r="H28" s="16"/>
      <c r="I28" s="17"/>
      <c r="J28" s="11"/>
      <c r="K28" s="12"/>
      <c r="L28" s="17"/>
      <c r="M28" s="11"/>
      <c r="N28" s="16"/>
      <c r="O28" s="17"/>
      <c r="P28" s="11"/>
      <c r="Q28" s="16"/>
      <c r="R28" s="14"/>
      <c r="S28" s="11"/>
      <c r="T28" s="15"/>
      <c r="U28" s="18"/>
      <c r="V28" s="11"/>
      <c r="W28" s="20"/>
      <c r="X28" s="1"/>
      <c r="Y28" s="13"/>
      <c r="Z28" s="13"/>
      <c r="AA28" s="14"/>
      <c r="AB28" s="11"/>
      <c r="AC28" s="15"/>
    </row>
    <row r="29" spans="1:29" ht="15">
      <c r="A29" s="22" t="s">
        <v>45</v>
      </c>
      <c r="C29" s="4"/>
      <c r="D29" s="4"/>
      <c r="E29" s="4"/>
      <c r="F29" s="17"/>
      <c r="G29" s="11"/>
      <c r="H29" s="16"/>
      <c r="I29" s="17"/>
      <c r="J29" s="11"/>
      <c r="K29" s="12"/>
      <c r="L29" s="17"/>
      <c r="M29" s="11"/>
      <c r="N29" s="16"/>
      <c r="O29" s="17"/>
      <c r="P29" s="11"/>
      <c r="Q29" s="16"/>
      <c r="R29" s="14"/>
      <c r="S29" s="11"/>
      <c r="T29" s="15"/>
      <c r="U29" s="21"/>
      <c r="V29" s="11"/>
      <c r="W29" s="20"/>
      <c r="X29" s="1"/>
      <c r="Y29" s="13"/>
      <c r="Z29" s="13"/>
      <c r="AA29" s="14"/>
      <c r="AB29" s="11"/>
      <c r="AC29" s="15"/>
    </row>
    <row r="30" ht="15">
      <c r="A30" s="22" t="s">
        <v>46</v>
      </c>
    </row>
    <row r="31" spans="1:29" ht="15">
      <c r="A31" s="22"/>
      <c r="C31" s="4"/>
      <c r="D31" s="4"/>
      <c r="E31" s="4"/>
      <c r="F31" s="17"/>
      <c r="G31" s="11"/>
      <c r="H31" s="16"/>
      <c r="I31" s="17"/>
      <c r="J31" s="11"/>
      <c r="K31" s="12"/>
      <c r="L31" s="17"/>
      <c r="M31" s="11"/>
      <c r="N31" s="16"/>
      <c r="O31" s="17"/>
      <c r="P31" s="11"/>
      <c r="Q31" s="16"/>
      <c r="R31" s="14"/>
      <c r="S31" s="11"/>
      <c r="T31" s="15"/>
      <c r="U31" s="18"/>
      <c r="V31" s="11"/>
      <c r="W31" s="20"/>
      <c r="X31" s="1"/>
      <c r="Y31" s="13"/>
      <c r="Z31" s="13"/>
      <c r="AA31" s="14"/>
      <c r="AB31" s="11"/>
      <c r="AC31" s="15"/>
    </row>
    <row r="32" spans="1:29" ht="15">
      <c r="A32" s="1"/>
      <c r="B32" s="4"/>
      <c r="C32" s="4"/>
      <c r="D32" s="4"/>
      <c r="E32" s="4"/>
      <c r="F32" s="17"/>
      <c r="G32" s="11"/>
      <c r="H32" s="16"/>
      <c r="I32" s="17"/>
      <c r="J32" s="11"/>
      <c r="K32" s="12"/>
      <c r="L32" s="17"/>
      <c r="M32" s="11"/>
      <c r="N32" s="16"/>
      <c r="O32" s="17"/>
      <c r="P32" s="11"/>
      <c r="Q32" s="16"/>
      <c r="R32" s="14"/>
      <c r="S32" s="11"/>
      <c r="T32" s="15"/>
      <c r="U32" s="18"/>
      <c r="V32" s="11"/>
      <c r="W32" s="20"/>
      <c r="X32" s="1"/>
      <c r="Y32" s="13"/>
      <c r="Z32" s="13"/>
      <c r="AA32" s="14"/>
      <c r="AB32" s="11"/>
      <c r="AC32" s="15"/>
    </row>
    <row r="33" spans="1:29" ht="15">
      <c r="A33" s="1"/>
      <c r="B33" s="4"/>
      <c r="C33" s="4"/>
      <c r="D33" s="4"/>
      <c r="E33" s="4"/>
      <c r="F33" s="17"/>
      <c r="G33" s="11"/>
      <c r="H33" s="16"/>
      <c r="I33" s="17"/>
      <c r="J33" s="11"/>
      <c r="K33" s="12"/>
      <c r="L33" s="17"/>
      <c r="M33" s="11"/>
      <c r="N33" s="16"/>
      <c r="O33" s="17"/>
      <c r="P33" s="11"/>
      <c r="Q33" s="16"/>
      <c r="R33" s="14"/>
      <c r="S33" s="11"/>
      <c r="T33" s="15"/>
      <c r="U33" s="18"/>
      <c r="V33" s="11"/>
      <c r="W33" s="20"/>
      <c r="X33" s="1"/>
      <c r="Y33" s="13"/>
      <c r="Z33" s="13"/>
      <c r="AA33" s="14"/>
      <c r="AB33" s="11"/>
      <c r="AC33" s="15"/>
    </row>
    <row r="34" spans="1:29" ht="15">
      <c r="A34" s="1"/>
      <c r="B34" s="4"/>
      <c r="C34" s="4"/>
      <c r="D34" s="4"/>
      <c r="E34" s="4"/>
      <c r="F34" s="17"/>
      <c r="G34" s="11"/>
      <c r="H34" s="16"/>
      <c r="I34" s="17"/>
      <c r="J34" s="11"/>
      <c r="K34" s="12"/>
      <c r="L34" s="17"/>
      <c r="M34" s="11"/>
      <c r="N34" s="16"/>
      <c r="O34" s="17"/>
      <c r="P34" s="11"/>
      <c r="Q34" s="16"/>
      <c r="R34" s="14"/>
      <c r="S34" s="11"/>
      <c r="T34" s="15"/>
      <c r="U34" s="21"/>
      <c r="V34" s="11"/>
      <c r="W34" s="20"/>
      <c r="X34" s="1"/>
      <c r="Y34" s="13"/>
      <c r="Z34" s="13"/>
      <c r="AA34" s="14"/>
      <c r="AB34" s="11"/>
      <c r="AC34" s="15"/>
    </row>
    <row r="36" spans="1:29" ht="15">
      <c r="A36" s="1"/>
      <c r="B36" s="4"/>
      <c r="C36" s="4"/>
      <c r="D36" s="4"/>
      <c r="E36" s="4"/>
      <c r="F36" s="17"/>
      <c r="G36" s="11"/>
      <c r="H36" s="16"/>
      <c r="I36" s="17"/>
      <c r="J36" s="11"/>
      <c r="K36" s="12"/>
      <c r="L36" s="17"/>
      <c r="M36" s="11"/>
      <c r="N36" s="16"/>
      <c r="O36" s="17"/>
      <c r="P36" s="11"/>
      <c r="Q36" s="16"/>
      <c r="R36" s="14"/>
      <c r="S36" s="11"/>
      <c r="T36" s="15"/>
      <c r="U36" s="18"/>
      <c r="V36" s="11"/>
      <c r="W36" s="20"/>
      <c r="X36" s="1"/>
      <c r="Y36" s="13"/>
      <c r="Z36" s="13"/>
      <c r="AA36" s="14"/>
      <c r="AB36" s="11"/>
      <c r="AC36" s="15"/>
    </row>
    <row r="37" spans="1:29" ht="15">
      <c r="A37" s="1"/>
      <c r="B37" s="4"/>
      <c r="C37" s="4"/>
      <c r="D37" s="4"/>
      <c r="E37" s="4"/>
      <c r="F37" s="17"/>
      <c r="G37" s="11"/>
      <c r="H37" s="16"/>
      <c r="I37" s="17"/>
      <c r="J37" s="11"/>
      <c r="K37" s="12"/>
      <c r="L37" s="17"/>
      <c r="M37" s="11"/>
      <c r="N37" s="16"/>
      <c r="O37" s="17"/>
      <c r="P37" s="11"/>
      <c r="Q37" s="16"/>
      <c r="R37" s="14"/>
      <c r="S37" s="11"/>
      <c r="T37" s="15"/>
      <c r="U37" s="18"/>
      <c r="V37" s="11"/>
      <c r="W37" s="20"/>
      <c r="X37" s="1"/>
      <c r="Y37" s="13"/>
      <c r="Z37" s="13"/>
      <c r="AA37" s="14"/>
      <c r="AB37" s="11"/>
      <c r="AC37" s="15"/>
    </row>
    <row r="38" spans="1:29" ht="15">
      <c r="A38" s="1"/>
      <c r="B38" s="4"/>
      <c r="C38" s="4"/>
      <c r="D38" s="4"/>
      <c r="E38" s="4"/>
      <c r="F38" s="17"/>
      <c r="G38" s="11"/>
      <c r="H38" s="16"/>
      <c r="I38" s="17"/>
      <c r="J38" s="11"/>
      <c r="K38" s="12"/>
      <c r="L38" s="17"/>
      <c r="M38" s="11"/>
      <c r="N38" s="16"/>
      <c r="O38" s="17"/>
      <c r="P38" s="11"/>
      <c r="Q38" s="16"/>
      <c r="R38" s="14"/>
      <c r="S38" s="11"/>
      <c r="T38" s="15"/>
      <c r="U38" s="21"/>
      <c r="V38" s="11"/>
      <c r="W38" s="20"/>
      <c r="X38" s="1"/>
      <c r="Y38" s="13"/>
      <c r="Z38" s="13"/>
      <c r="AA38" s="14"/>
      <c r="AB38" s="11"/>
      <c r="AC38" s="15"/>
    </row>
    <row r="40" spans="1:29" ht="15">
      <c r="A40" s="1"/>
      <c r="B40" s="4"/>
      <c r="C40" s="4"/>
      <c r="D40" s="4"/>
      <c r="E40" s="4"/>
      <c r="F40" s="17"/>
      <c r="G40" s="11"/>
      <c r="H40" s="16"/>
      <c r="I40" s="17"/>
      <c r="J40" s="11"/>
      <c r="K40" s="12"/>
      <c r="L40" s="17"/>
      <c r="M40" s="11"/>
      <c r="N40" s="16"/>
      <c r="O40" s="17"/>
      <c r="P40" s="11"/>
      <c r="Q40" s="16"/>
      <c r="R40" s="14"/>
      <c r="S40" s="11"/>
      <c r="T40" s="15"/>
      <c r="U40" s="18"/>
      <c r="V40" s="11"/>
      <c r="W40" s="20"/>
      <c r="X40" s="1"/>
      <c r="Y40" s="13"/>
      <c r="Z40" s="13"/>
      <c r="AA40" s="14"/>
      <c r="AB40" s="11"/>
      <c r="AC40" s="15"/>
    </row>
    <row r="41" spans="1:29" ht="15">
      <c r="A41" s="1"/>
      <c r="B41" s="4"/>
      <c r="C41" s="4"/>
      <c r="D41" s="4"/>
      <c r="E41" s="4"/>
      <c r="F41" s="17"/>
      <c r="G41" s="11"/>
      <c r="H41" s="16"/>
      <c r="I41" s="17"/>
      <c r="J41" s="11"/>
      <c r="K41" s="12"/>
      <c r="L41" s="17"/>
      <c r="M41" s="11"/>
      <c r="N41" s="16"/>
      <c r="O41" s="17"/>
      <c r="P41" s="11"/>
      <c r="Q41" s="16"/>
      <c r="R41" s="14"/>
      <c r="S41" s="11"/>
      <c r="T41" s="15"/>
      <c r="U41" s="18"/>
      <c r="V41" s="11"/>
      <c r="W41" s="20"/>
      <c r="X41" s="1"/>
      <c r="Y41" s="13"/>
      <c r="Z41" s="13"/>
      <c r="AA41" s="14"/>
      <c r="AB41" s="11"/>
      <c r="AC41" s="15"/>
    </row>
    <row r="42" spans="1:29" ht="15">
      <c r="A42" s="1"/>
      <c r="B42" s="4"/>
      <c r="C42" s="4"/>
      <c r="D42" s="4"/>
      <c r="E42" s="4"/>
      <c r="F42" s="17"/>
      <c r="G42" s="11"/>
      <c r="H42" s="16"/>
      <c r="I42" s="17"/>
      <c r="J42" s="11"/>
      <c r="K42" s="12"/>
      <c r="L42" s="17"/>
      <c r="M42" s="11"/>
      <c r="N42" s="16"/>
      <c r="O42" s="17"/>
      <c r="P42" s="11"/>
      <c r="Q42" s="16"/>
      <c r="R42" s="14"/>
      <c r="S42" s="11"/>
      <c r="T42" s="15"/>
      <c r="U42" s="21"/>
      <c r="V42" s="11"/>
      <c r="W42" s="20"/>
      <c r="X42" s="1"/>
      <c r="Y42" s="13"/>
      <c r="Z42" s="13"/>
      <c r="AA42" s="14"/>
      <c r="AB42" s="11"/>
      <c r="AC42" s="15"/>
    </row>
    <row r="44" spans="1:29" ht="15">
      <c r="A44" s="1"/>
      <c r="B44" s="4"/>
      <c r="C44" s="4"/>
      <c r="D44" s="4"/>
      <c r="E44" s="4"/>
      <c r="F44" s="17"/>
      <c r="G44" s="11"/>
      <c r="H44" s="16"/>
      <c r="I44" s="17"/>
      <c r="J44" s="11"/>
      <c r="K44" s="12"/>
      <c r="L44" s="17"/>
      <c r="M44" s="11"/>
      <c r="N44" s="16"/>
      <c r="O44" s="17"/>
      <c r="P44" s="11"/>
      <c r="Q44" s="16"/>
      <c r="R44" s="14"/>
      <c r="S44" s="11"/>
      <c r="T44" s="15"/>
      <c r="U44" s="18"/>
      <c r="V44" s="11"/>
      <c r="W44" s="20"/>
      <c r="X44" s="1"/>
      <c r="Y44" s="13"/>
      <c r="Z44" s="13"/>
      <c r="AA44" s="14"/>
      <c r="AB44" s="11"/>
      <c r="AC44" s="15"/>
    </row>
    <row r="45" spans="1:29" ht="15">
      <c r="A45" s="1"/>
      <c r="B45" s="4"/>
      <c r="C45" s="4"/>
      <c r="D45" s="4"/>
      <c r="E45" s="4"/>
      <c r="F45" s="17"/>
      <c r="G45" s="11"/>
      <c r="H45" s="16"/>
      <c r="I45" s="17"/>
      <c r="J45" s="11"/>
      <c r="K45" s="12"/>
      <c r="L45" s="17"/>
      <c r="M45" s="11"/>
      <c r="N45" s="16"/>
      <c r="O45" s="17"/>
      <c r="P45" s="11"/>
      <c r="Q45" s="16"/>
      <c r="R45" s="14"/>
      <c r="S45" s="11"/>
      <c r="T45" s="15"/>
      <c r="U45" s="18"/>
      <c r="V45" s="11"/>
      <c r="W45" s="20"/>
      <c r="X45" s="1"/>
      <c r="Y45" s="13"/>
      <c r="Z45" s="13"/>
      <c r="AA45" s="14"/>
      <c r="AB45" s="11"/>
      <c r="AC45" s="15"/>
    </row>
    <row r="46" spans="1:29" ht="15">
      <c r="A46" s="1"/>
      <c r="B46" s="4"/>
      <c r="C46" s="4"/>
      <c r="D46" s="4"/>
      <c r="E46" s="4"/>
      <c r="F46" s="17"/>
      <c r="G46" s="11"/>
      <c r="H46" s="16"/>
      <c r="I46" s="17"/>
      <c r="J46" s="11"/>
      <c r="K46" s="12"/>
      <c r="L46" s="17"/>
      <c r="M46" s="11"/>
      <c r="N46" s="16"/>
      <c r="O46" s="17"/>
      <c r="P46" s="11"/>
      <c r="Q46" s="16"/>
      <c r="R46" s="14"/>
      <c r="S46" s="11"/>
      <c r="T46" s="15"/>
      <c r="U46" s="21"/>
      <c r="V46" s="11"/>
      <c r="W46" s="20"/>
      <c r="X46" s="1"/>
      <c r="Y46" s="13"/>
      <c r="Z46" s="13"/>
      <c r="AA46" s="14"/>
      <c r="AB46" s="11"/>
      <c r="AC46" s="15"/>
    </row>
    <row r="49" ht="15">
      <c r="A49" s="22"/>
    </row>
    <row r="50" ht="15">
      <c r="A50" s="22"/>
    </row>
    <row r="51" ht="15">
      <c r="A51" s="22"/>
    </row>
    <row r="52" ht="15">
      <c r="A52" s="22"/>
    </row>
    <row r="53" ht="15">
      <c r="A53" s="22"/>
    </row>
  </sheetData>
  <sheetProtection/>
  <mergeCells count="16">
    <mergeCell ref="U5:W5"/>
    <mergeCell ref="AA5:AC5"/>
    <mergeCell ref="F5:H5"/>
    <mergeCell ref="I5:K5"/>
    <mergeCell ref="O5:Q5"/>
    <mergeCell ref="R5:T5"/>
    <mergeCell ref="L5:N5"/>
    <mergeCell ref="U3:W3"/>
    <mergeCell ref="AA3:AC3"/>
    <mergeCell ref="F4:H4"/>
    <mergeCell ref="I4:K4"/>
    <mergeCell ref="O4:Q4"/>
    <mergeCell ref="R4:T4"/>
    <mergeCell ref="U4:W4"/>
    <mergeCell ref="AA4:AC4"/>
    <mergeCell ref="L4:N4"/>
  </mergeCells>
  <printOptions/>
  <pageMargins left="0.75" right="0.75" top="1" bottom="1" header="0.5" footer="0.5"/>
  <pageSetup fitToHeight="1" fitToWidth="1" orientation="landscape" scale="40"/>
</worksheet>
</file>

<file path=xl/worksheets/sheet4.xml><?xml version="1.0" encoding="utf-8"?>
<worksheet xmlns="http://schemas.openxmlformats.org/spreadsheetml/2006/main" xmlns:r="http://schemas.openxmlformats.org/officeDocument/2006/relationships">
  <dimension ref="A5:Q28"/>
  <sheetViews>
    <sheetView workbookViewId="0" topLeftCell="A2">
      <selection activeCell="F37" sqref="F37"/>
    </sheetView>
  </sheetViews>
  <sheetFormatPr defaultColWidth="11.00390625" defaultRowHeight="15"/>
  <cols>
    <col min="1" max="1" width="15.75390625" style="0" customWidth="1"/>
  </cols>
  <sheetData>
    <row r="5" ht="15">
      <c r="A5" t="s">
        <v>49</v>
      </c>
    </row>
    <row r="8" ht="15">
      <c r="A8" t="s">
        <v>80</v>
      </c>
    </row>
    <row r="9" ht="15">
      <c r="G9" t="s">
        <v>24</v>
      </c>
    </row>
    <row r="10" spans="1:7" ht="15">
      <c r="A10" t="s">
        <v>81</v>
      </c>
      <c r="E10" t="s">
        <v>82</v>
      </c>
      <c r="G10">
        <v>320.1</v>
      </c>
    </row>
    <row r="11" spans="5:7" ht="15">
      <c r="E11" t="s">
        <v>83</v>
      </c>
      <c r="G11">
        <v>15</v>
      </c>
    </row>
    <row r="12" spans="5:7" ht="15">
      <c r="E12" t="s">
        <v>77</v>
      </c>
      <c r="G12">
        <v>6.8</v>
      </c>
    </row>
    <row r="13" spans="5:7" ht="15">
      <c r="E13" t="s">
        <v>79</v>
      </c>
      <c r="G13" s="2">
        <f>100*(G12/G10)</f>
        <v>2.124336144954701</v>
      </c>
    </row>
    <row r="14" spans="5:7" ht="15">
      <c r="E14" t="s">
        <v>84</v>
      </c>
      <c r="G14">
        <v>1.1</v>
      </c>
    </row>
    <row r="15" spans="5:7" ht="15">
      <c r="E15" t="s">
        <v>85</v>
      </c>
      <c r="G15" s="2">
        <v>319</v>
      </c>
    </row>
    <row r="16" spans="5:7" ht="15">
      <c r="E16" t="s">
        <v>86</v>
      </c>
      <c r="G16">
        <v>1.7</v>
      </c>
    </row>
    <row r="17" spans="5:7" ht="15">
      <c r="E17" t="s">
        <v>87</v>
      </c>
      <c r="G17" s="19">
        <f>100*(G16/G15)</f>
        <v>0.5329153605015674</v>
      </c>
    </row>
    <row r="19" spans="1:17" ht="15">
      <c r="A19" t="s">
        <v>93</v>
      </c>
      <c r="G19" s="33" t="s">
        <v>76</v>
      </c>
      <c r="H19" s="33" t="s">
        <v>77</v>
      </c>
      <c r="I19" s="33" t="s">
        <v>78</v>
      </c>
      <c r="J19" s="33" t="s">
        <v>79</v>
      </c>
      <c r="K19" s="33" t="s">
        <v>85</v>
      </c>
      <c r="L19" s="33" t="s">
        <v>86</v>
      </c>
      <c r="M19" s="33" t="s">
        <v>90</v>
      </c>
      <c r="N19" s="33" t="s">
        <v>92</v>
      </c>
      <c r="O19" s="33" t="s">
        <v>88</v>
      </c>
      <c r="P19" s="33" t="s">
        <v>89</v>
      </c>
      <c r="Q19" s="33" t="s">
        <v>91</v>
      </c>
    </row>
    <row r="21" spans="1:17" ht="15">
      <c r="A21" t="str">
        <f>'MD corrected'!B12</f>
        <v>BCO247</v>
      </c>
      <c r="B21" t="str">
        <f>'MD corrected'!C12</f>
        <v>b</v>
      </c>
      <c r="C21" s="2">
        <f>'MD corrected'!U12</f>
        <v>15.013172291296627</v>
      </c>
      <c r="D21" s="2">
        <f>'MD corrected'!V12</f>
        <v>1.5686937240902061</v>
      </c>
      <c r="G21" s="2">
        <f>AVERAGE(C21:C22)</f>
        <v>18.417674071094016</v>
      </c>
      <c r="H21" s="2">
        <f>STDEV(C21:C22)</f>
        <v>4.814692590112818</v>
      </c>
      <c r="I21" s="2">
        <f>AVERAGE(D21:D22)</f>
        <v>1.9759529211099267</v>
      </c>
      <c r="J21" s="2">
        <f>100*(H21/G21)</f>
        <v>26.141697217181907</v>
      </c>
      <c r="K21" s="2">
        <f>(P21+P22)/(O21+O22)</f>
        <v>17.07147288210196</v>
      </c>
      <c r="L21" s="2">
        <f>1/SQRT(O21+O22)</f>
        <v>1.3103138069133204</v>
      </c>
      <c r="M21" s="2">
        <f>Q21+Q22</f>
        <v>5.695292607895627</v>
      </c>
      <c r="N21" s="19">
        <f>_xlfn.CHISQ.DIST.RT((Q21+Q22),1)</f>
        <v>0.01701047620074309</v>
      </c>
      <c r="O21">
        <f>1/(D21^2)</f>
        <v>0.4063719115734721</v>
      </c>
      <c r="P21">
        <f>O21*C21</f>
        <v>6.100931522796094</v>
      </c>
      <c r="Q21">
        <f>((C21-K21)/D21)^2</f>
        <v>1.7216357778403726</v>
      </c>
    </row>
    <row r="22" spans="1:17" ht="15">
      <c r="A22" t="str">
        <f>'MD corrected'!B21</f>
        <v>BCO247</v>
      </c>
      <c r="B22" t="str">
        <f>'MD corrected'!C21</f>
        <v>c</v>
      </c>
      <c r="C22" s="2">
        <f>'MD corrected'!U21</f>
        <v>21.822175850891405</v>
      </c>
      <c r="D22" s="2">
        <f>'MD corrected'!V21</f>
        <v>2.3832121181296473</v>
      </c>
      <c r="O22">
        <f>1/(D22^2)</f>
        <v>0.1760656372695741</v>
      </c>
      <c r="P22">
        <f>O22*C22</f>
        <v>3.842135297795906</v>
      </c>
      <c r="Q22">
        <f>((C22-K21)/D22)^2</f>
        <v>3.9736568300552553</v>
      </c>
    </row>
    <row r="23" spans="3:4" ht="15">
      <c r="C23" s="2"/>
      <c r="D23" s="2"/>
    </row>
    <row r="24" spans="1:17" ht="15">
      <c r="A24" t="str">
        <f>'MD corrected'!B15</f>
        <v>BCO447</v>
      </c>
      <c r="B24" t="str">
        <f>'MD corrected'!C15</f>
        <v>b</v>
      </c>
      <c r="C24" s="2">
        <f>'MD corrected'!U15</f>
        <v>6.243039391845208</v>
      </c>
      <c r="D24" s="2">
        <f>'MD corrected'!V15</f>
        <v>1.5338839591051208</v>
      </c>
      <c r="G24" s="2">
        <f>AVERAGE(C24:C25)</f>
        <v>6.451265949994266</v>
      </c>
      <c r="H24" s="2">
        <f>STDEV(C24:C25)</f>
        <v>0.29447682258066693</v>
      </c>
      <c r="I24" s="2">
        <f>AVERAGE(D24:D25)</f>
        <v>1.5054709227904</v>
      </c>
      <c r="J24" s="2">
        <f>100*(H24/G24)</f>
        <v>4.56463622587019</v>
      </c>
      <c r="K24" s="2">
        <f>(P24+P25)/(O24+O25)</f>
        <v>6.459122949464836</v>
      </c>
      <c r="L24" s="2">
        <f>1/SQRT(O24+O25)</f>
        <v>1.063960043256554</v>
      </c>
      <c r="M24" s="2">
        <f>Q24+Q25</f>
        <v>0.038247480003178125</v>
      </c>
      <c r="N24" s="19">
        <f>_xlfn.CHISQ.DIST.RT((Q24+Q25),1)</f>
        <v>0.8449470333146586</v>
      </c>
      <c r="O24">
        <f>1/(D24^2)</f>
        <v>0.42502550153009183</v>
      </c>
      <c r="P24">
        <f>O24*C24</f>
        <v>2.653450948591129</v>
      </c>
      <c r="Q24">
        <f>((C24-K24)/D24)^2</f>
        <v>0.019845334866352905</v>
      </c>
    </row>
    <row r="25" spans="1:17" ht="15">
      <c r="A25" t="str">
        <f>'MD corrected'!B24</f>
        <v>BCO447</v>
      </c>
      <c r="B25" t="str">
        <f>'MD corrected'!C24</f>
        <v>c</v>
      </c>
      <c r="C25" s="2">
        <f>'MD corrected'!U24</f>
        <v>6.659492508143323</v>
      </c>
      <c r="D25" s="2">
        <f>'MD corrected'!V24</f>
        <v>1.477057886475679</v>
      </c>
      <c r="O25">
        <f>1/(D25^2)</f>
        <v>0.45835816106705785</v>
      </c>
      <c r="P25">
        <f>O25*C25</f>
        <v>3.0524327396724225</v>
      </c>
      <c r="Q25">
        <f>((C25-K24)/D25)^2</f>
        <v>0.01840214513682522</v>
      </c>
    </row>
    <row r="26" spans="3:4" ht="15">
      <c r="C26" s="2"/>
      <c r="D26" s="2"/>
    </row>
    <row r="27" spans="1:17" ht="15">
      <c r="A27" t="str">
        <f>'MD corrected'!B18</f>
        <v>BCO613</v>
      </c>
      <c r="B27" t="str">
        <f>'MD corrected'!C18</f>
        <v>b</v>
      </c>
      <c r="C27" s="2">
        <f>'MD corrected'!U18</f>
        <v>8.417852244389042</v>
      </c>
      <c r="D27" s="2">
        <f>'MD corrected'!V18</f>
        <v>1.8027756377319946</v>
      </c>
      <c r="E27" s="2"/>
      <c r="G27" s="2">
        <f>AVERAGE(C27:C28)</f>
        <v>10.09099511915501</v>
      </c>
      <c r="H27" s="2">
        <f>STDEV(C27:C28)</f>
        <v>2.3661813452819302</v>
      </c>
      <c r="I27" s="2">
        <f>AVERAGE(D27:D28)</f>
        <v>1.8597457895637945</v>
      </c>
      <c r="J27" s="2">
        <f>100*(H27/G27)</f>
        <v>23.448444056725172</v>
      </c>
      <c r="K27" s="2">
        <f>(P27+P28)/(O27+O28)</f>
        <v>9.988583444882817</v>
      </c>
      <c r="L27" s="2">
        <f>1/SQRT(O27+O28)</f>
        <v>1.3131888246641004</v>
      </c>
      <c r="M27" s="2">
        <f>Q27+Q28</f>
        <v>1.6172662869407703</v>
      </c>
      <c r="N27" s="19">
        <f>_xlfn.CHISQ.DIST.RT((Q27+Q28),1)</f>
        <v>0.2034733865279412</v>
      </c>
      <c r="O27">
        <f>1/(D27^2)</f>
        <v>0.3076923076923077</v>
      </c>
      <c r="P27">
        <f>O27*C27</f>
        <v>2.5901083828889364</v>
      </c>
      <c r="Q27">
        <f>((C27-K27)/D27)^2</f>
        <v>0.7591373859091124</v>
      </c>
    </row>
    <row r="28" spans="1:17" ht="15">
      <c r="A28" t="str">
        <f>'MD corrected'!B27</f>
        <v>BCO613</v>
      </c>
      <c r="B28" t="str">
        <f>'MD corrected'!C27</f>
        <v>c</v>
      </c>
      <c r="C28" s="2">
        <f>'MD corrected'!U27</f>
        <v>11.764137993920977</v>
      </c>
      <c r="D28" s="2">
        <f>'MD corrected'!V27</f>
        <v>1.9167159413955945</v>
      </c>
      <c r="O28">
        <f>1/(D28^2)</f>
        <v>0.2721977244270238</v>
      </c>
      <c r="P28">
        <f>O28*C28</f>
        <v>3.2021715917907825</v>
      </c>
      <c r="Q28">
        <f>((C28-K27)/D28)^2</f>
        <v>0.858128901031658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 Balco</cp:lastModifiedBy>
  <cp:lastPrinted>2013-06-21T17:59:09Z</cp:lastPrinted>
  <dcterms:created xsi:type="dcterms:W3CDTF">2010-09-15T17:45:36Z</dcterms:created>
  <dcterms:modified xsi:type="dcterms:W3CDTF">2018-06-14T15:08:40Z</dcterms:modified>
  <cp:category/>
  <cp:version/>
  <cp:contentType/>
  <cp:contentStatus/>
</cp:coreProperties>
</file>